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trlProps/ctrlProp42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stm\Desktop\"/>
    </mc:Choice>
  </mc:AlternateContent>
  <xr:revisionPtr revIDLastSave="0" documentId="8_{800FB902-94B6-4FFC-A8DD-278A1E7356C4}" xr6:coauthVersionLast="47" xr6:coauthVersionMax="47" xr10:uidLastSave="{00000000-0000-0000-0000-000000000000}"/>
  <bookViews>
    <workbookView xWindow="-108" yWindow="-108" windowWidth="23256" windowHeight="12456" tabRatio="900" xr2:uid="{00000000-000D-0000-FFFF-FFFF00000000}"/>
  </bookViews>
  <sheets>
    <sheet name="Unit Conversion" sheetId="21" r:id="rId1"/>
    <sheet name="Calendar" sheetId="23" r:id="rId2"/>
    <sheet name="Checkbook Balance" sheetId="1" r:id="rId3"/>
    <sheet name="Loan Payment" sheetId="2" r:id="rId4"/>
    <sheet name="BMI &amp; Calorie" sheetId="3" r:id="rId5"/>
    <sheet name="Blood Pressure" sheetId="20" r:id="rId6"/>
    <sheet name="Conversion" sheetId="4" r:id="rId7"/>
    <sheet name="Convert" sheetId="5" r:id="rId8"/>
    <sheet name="Right Triangle" sheetId="6" r:id="rId9"/>
    <sheet name="Tap Drill" sheetId="7" r:id="rId10"/>
    <sheet name="Drill Bit Equivalence" sheetId="8" r:id="rId11"/>
    <sheet name="Chart 1" sheetId="9" r:id="rId12"/>
    <sheet name="Chart 2" sheetId="10" r:id="rId13"/>
    <sheet name="Bolt Circle" sheetId="11" r:id="rId14"/>
    <sheet name="Spiral" sheetId="18" r:id="rId15"/>
    <sheet name="Rotate" sheetId="12" r:id="rId16"/>
    <sheet name="Cone Fab" sheetId="13" r:id="rId17"/>
    <sheet name="Circle Segment" sheetId="14" r:id="rId18"/>
    <sheet name="Polygon" sheetId="15" r:id="rId19"/>
    <sheet name="Trig Function" sheetId="16" r:id="rId20"/>
    <sheet name="Data" sheetId="17" state="hidden" r:id="rId21"/>
  </sheets>
  <definedNames>
    <definedName name="_Order1" hidden="1">255</definedName>
    <definedName name="_Order2" hidden="1">255</definedName>
    <definedName name="CELLNOTE0" localSheetId="13">'Bolt Circle'!#REF!</definedName>
    <definedName name="CELLNOTE0" localSheetId="14">Spiral!#REF!</definedName>
    <definedName name="HEADDAYA3">Calendar!$U$65:$AA$70,Calendar!$L$65:$R$70,Calendar!$C$65:$I$70,Calendar!$C$51:$I$56,Calendar!$L$51:$R$56,Calendar!$U$51:$AA$56,Calendar!$U$37:$AA$42,Calendar!$L$37:$R$41,Calendar!$L$42:$R$42,Calendar!$C$37:$I$42,Calendar!$C$23:$I$28,Calendar!$L$23:$R$28,Calendar!$U$23:$AA$28</definedName>
    <definedName name="HEADDAYA4">Calendar!$C$23:$I$28,Calendar!$L$23,Calendar!$R$23,Calendar!$L$23:$R$28,Calendar!$U$23:$AA$28,Calendar!$C$37:$I$42,Calendar!$L$37:$R$42,Calendar!$U$37:$AA$42,Calendar!$C$51:$I$56,Calendar!$L$51:$R$55,Calendar!$L$51:$R$56,Calendar!$U$51:$AA$55,Calendar!$AA$55,Calendar!$U$51:$AA$56,Calendar!$C$65:$I$70,Calendar!$L$65:$R$70,Calendar!$U$65:$AA$70</definedName>
    <definedName name="HEADWEEKA3">Calendar!$C$22:$I$22,Calendar!$L$22:$R$22,Calendar!$U$22:$AA$22,Calendar!$C$36:$I$36,Calendar!$L$36:$R$36,Calendar!$U$36:$AA$36,Calendar!$C$50:$I$50,Calendar!$L$50:$R$50,Calendar!$U$50:$AA$50,Calendar!$C$64:$I$64,Calendar!$L$64:$R$64,Calendar!$U$64:$AA$64</definedName>
    <definedName name="HEADWEEKA4">Calendar!$C$22:$I$22,Calendar!$L$22:$R$22,Calendar!$U$22:$AA$22,Calendar!$U$36:$AA$36,Calendar!$L$36:$R$36,Calendar!$C$36:$I$36,Calendar!$U$50:$AA$50,Calendar!$L$50:$R$50,Calendar!$C$50:$I$50,Calendar!$U$64:$AA$64,Calendar!$L$64:$R$64,Calendar!$C$64:$I$64</definedName>
    <definedName name="_xlnm.Print_Area" localSheetId="13">'Bolt Circle'!$B$1:$K$52</definedName>
    <definedName name="_xlnm.Print_Area" localSheetId="1">Calendar!$A$10:$AB$72</definedName>
    <definedName name="_xlnm.Print_Area" localSheetId="6">Conversion!$B$1:$I$20</definedName>
    <definedName name="_xlnm.Print_Area" localSheetId="7">Convert!$B$2:$C$9</definedName>
    <definedName name="_xlnm.Print_Area" localSheetId="3">OFFSET('Loan Payment'!$A$1,0,0,(COUNTIF('Loan Payment'!$I$12:$I$383,"=End of year*")*12)+11,9)</definedName>
    <definedName name="_xlnm.Print_Area" localSheetId="8">'Right Triangle'!$B$1:$I$21</definedName>
    <definedName name="_xlnm.Print_Area" localSheetId="14">Spiral!$B$1:$S$53</definedName>
    <definedName name="_xlnm.Print_Area" localSheetId="0">'Unit Conversion'!$A$1:$U$24</definedName>
    <definedName name="_xlnm.Print_Titles" localSheetId="3">'Loan Payment'!$10:$11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3" l="1"/>
  <c r="L2" i="23" s="1"/>
  <c r="U2" i="23" s="1"/>
  <c r="M2" i="23"/>
  <c r="P3" i="23" s="1"/>
  <c r="D3" i="23"/>
  <c r="F3" i="23"/>
  <c r="H3" i="23"/>
  <c r="R3" i="23"/>
  <c r="P12" i="23"/>
  <c r="B24" i="23"/>
  <c r="B25" i="23" s="1"/>
  <c r="B26" i="23" s="1"/>
  <c r="B27" i="23" s="1"/>
  <c r="AB3" i="21"/>
  <c r="AC3" i="21"/>
  <c r="AH3" i="21"/>
  <c r="AI3" i="21"/>
  <c r="AN3" i="21"/>
  <c r="AO3" i="21" s="1"/>
  <c r="AT3" i="21"/>
  <c r="AU3" i="21"/>
  <c r="AZ3" i="21"/>
  <c r="BA3" i="21"/>
  <c r="BF3" i="21"/>
  <c r="BG3" i="21"/>
  <c r="BL3" i="21"/>
  <c r="BM3" i="21" s="1"/>
  <c r="BR3" i="21"/>
  <c r="BS3" i="21" s="1"/>
  <c r="BX3" i="21"/>
  <c r="BY3" i="21" s="1"/>
  <c r="CD3" i="21"/>
  <c r="CE3" i="21" s="1"/>
  <c r="CJ3" i="21"/>
  <c r="CK3" i="21"/>
  <c r="CP3" i="21"/>
  <c r="CQ3" i="21"/>
  <c r="CV3" i="21"/>
  <c r="CW3" i="21" s="1"/>
  <c r="DB3" i="21"/>
  <c r="DC3" i="21"/>
  <c r="DH3" i="21"/>
  <c r="DI3" i="21"/>
  <c r="DH6" i="21"/>
  <c r="O20" i="21" s="1"/>
  <c r="DN3" i="21"/>
  <c r="DO3" i="21" s="1"/>
  <c r="DT3" i="21"/>
  <c r="DU3" i="21" s="1"/>
  <c r="DZ3" i="21"/>
  <c r="EA3" i="21" s="1"/>
  <c r="AB4" i="21"/>
  <c r="AZ4" i="21"/>
  <c r="BL4" i="21"/>
  <c r="DH5" i="21"/>
  <c r="AB6" i="21"/>
  <c r="AZ6" i="21"/>
  <c r="DB6" i="21"/>
  <c r="O16" i="21" s="1"/>
  <c r="AZ7" i="21"/>
  <c r="AH8" i="21"/>
  <c r="E8" i="21"/>
  <c r="BL8" i="21"/>
  <c r="AB9" i="21"/>
  <c r="CD9" i="21"/>
  <c r="CJ9" i="21"/>
  <c r="AB11" i="21"/>
  <c r="AH11" i="21"/>
  <c r="BF11" i="21"/>
  <c r="CD11" i="21"/>
  <c r="AT12" i="21"/>
  <c r="AZ12" i="21"/>
  <c r="CU12" i="21"/>
  <c r="CD13" i="21"/>
  <c r="CU13" i="21"/>
  <c r="AT14" i="21"/>
  <c r="CU14" i="21"/>
  <c r="AT15" i="21"/>
  <c r="BF15" i="21"/>
  <c r="CD15" i="21"/>
  <c r="J16" i="21" s="1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D55" i="20"/>
  <c r="E55" i="20"/>
  <c r="F55" i="20"/>
  <c r="D56" i="20"/>
  <c r="E56" i="20"/>
  <c r="F56" i="20"/>
  <c r="D57" i="20"/>
  <c r="E57" i="20"/>
  <c r="F57" i="20"/>
  <c r="D58" i="20"/>
  <c r="E58" i="20"/>
  <c r="F58" i="20"/>
  <c r="O58" i="20"/>
  <c r="D59" i="20"/>
  <c r="E59" i="20"/>
  <c r="F59" i="20"/>
  <c r="C15" i="3"/>
  <c r="J14" i="3"/>
  <c r="I14" i="3"/>
  <c r="H14" i="3"/>
  <c r="J13" i="3"/>
  <c r="I13" i="3"/>
  <c r="H13" i="3"/>
  <c r="H12" i="3"/>
  <c r="I12" i="3"/>
  <c r="F10" i="3"/>
  <c r="F9" i="3"/>
  <c r="K5" i="3"/>
  <c r="H6" i="3"/>
  <c r="F6" i="3"/>
  <c r="B40" i="11"/>
  <c r="D3" i="11"/>
  <c r="E20" i="1"/>
  <c r="H14" i="1"/>
  <c r="H16" i="1"/>
  <c r="J19" i="1" s="1"/>
  <c r="K16" i="1"/>
  <c r="K20" i="1"/>
  <c r="E8" i="14"/>
  <c r="H7" i="14"/>
  <c r="F7" i="14"/>
  <c r="I6" i="14"/>
  <c r="H6" i="14"/>
  <c r="G6" i="14"/>
  <c r="F6" i="14"/>
  <c r="I5" i="14"/>
  <c r="H5" i="14"/>
  <c r="G5" i="14"/>
  <c r="F5" i="14"/>
  <c r="H8" i="13"/>
  <c r="G10" i="13"/>
  <c r="E8" i="13"/>
  <c r="K9" i="13"/>
  <c r="E11" i="13"/>
  <c r="D11" i="13"/>
  <c r="G9" i="13"/>
  <c r="K8" i="13"/>
  <c r="D9" i="13" s="1"/>
  <c r="F9" i="13" s="1"/>
  <c r="D8" i="13"/>
  <c r="E10" i="13" s="1"/>
  <c r="F8" i="13"/>
  <c r="J9" i="13"/>
  <c r="I8" i="13"/>
  <c r="E13" i="13"/>
  <c r="G8" i="13"/>
  <c r="J8" i="13"/>
  <c r="H8" i="4"/>
  <c r="D8" i="4"/>
  <c r="H20" i="4"/>
  <c r="D20" i="4"/>
  <c r="H12" i="4"/>
  <c r="D12" i="4"/>
  <c r="H11" i="4"/>
  <c r="D11" i="4"/>
  <c r="H10" i="4"/>
  <c r="D10" i="4"/>
  <c r="H9" i="4"/>
  <c r="D9" i="4"/>
  <c r="H7" i="4"/>
  <c r="D7" i="4"/>
  <c r="H6" i="4"/>
  <c r="D6" i="4"/>
  <c r="H5" i="4"/>
  <c r="D5" i="4"/>
  <c r="H4" i="4"/>
  <c r="D4" i="4"/>
  <c r="H3" i="4"/>
  <c r="D3" i="4"/>
  <c r="C7" i="5"/>
  <c r="C5" i="5"/>
  <c r="C6" i="5"/>
  <c r="C8" i="5"/>
  <c r="B7" i="5"/>
  <c r="S29" i="17"/>
  <c r="B8" i="5"/>
  <c r="V882" i="17"/>
  <c r="V881" i="17"/>
  <c r="V880" i="17"/>
  <c r="V879" i="17"/>
  <c r="V878" i="17"/>
  <c r="V877" i="17"/>
  <c r="V876" i="17"/>
  <c r="V875" i="17"/>
  <c r="V874" i="17"/>
  <c r="V873" i="17"/>
  <c r="V872" i="17"/>
  <c r="V871" i="17"/>
  <c r="V870" i="17"/>
  <c r="V869" i="17"/>
  <c r="V22" i="17"/>
  <c r="V21" i="17"/>
  <c r="V20" i="17"/>
  <c r="V19" i="17"/>
  <c r="V18" i="17"/>
  <c r="V17" i="17"/>
  <c r="V16" i="17"/>
  <c r="V15" i="17"/>
  <c r="V14" i="17"/>
  <c r="V13" i="17"/>
  <c r="V2001" i="17"/>
  <c r="V2000" i="17"/>
  <c r="V1999" i="17"/>
  <c r="V1998" i="17"/>
  <c r="V1997" i="17"/>
  <c r="V1996" i="17"/>
  <c r="V1995" i="17"/>
  <c r="V1994" i="17"/>
  <c r="V1993" i="17"/>
  <c r="V1992" i="17"/>
  <c r="V1991" i="17"/>
  <c r="V1990" i="17"/>
  <c r="V1989" i="17"/>
  <c r="V1988" i="17"/>
  <c r="V1987" i="17"/>
  <c r="V1986" i="17"/>
  <c r="V1985" i="17"/>
  <c r="V1984" i="17"/>
  <c r="V1983" i="17"/>
  <c r="V1982" i="17"/>
  <c r="V1981" i="17"/>
  <c r="V1980" i="17"/>
  <c r="V1979" i="17"/>
  <c r="V1978" i="17"/>
  <c r="V1977" i="17"/>
  <c r="V1976" i="17"/>
  <c r="V1975" i="17"/>
  <c r="V1974" i="17"/>
  <c r="V1973" i="17"/>
  <c r="V1972" i="17"/>
  <c r="V1971" i="17"/>
  <c r="V1970" i="17"/>
  <c r="V1969" i="17"/>
  <c r="V1968" i="17"/>
  <c r="V1967" i="17"/>
  <c r="V1966" i="17"/>
  <c r="V1965" i="17"/>
  <c r="V1964" i="17"/>
  <c r="V1963" i="17"/>
  <c r="V1962" i="17"/>
  <c r="V1961" i="17"/>
  <c r="V1960" i="17"/>
  <c r="V1959" i="17"/>
  <c r="V1958" i="17"/>
  <c r="V1957" i="17"/>
  <c r="V1956" i="17"/>
  <c r="V1955" i="17"/>
  <c r="V1954" i="17"/>
  <c r="V1953" i="17"/>
  <c r="V1952" i="17"/>
  <c r="V1951" i="17"/>
  <c r="V1950" i="17"/>
  <c r="V1949" i="17"/>
  <c r="V1948" i="17"/>
  <c r="V1947" i="17"/>
  <c r="V1946" i="17"/>
  <c r="V1945" i="17"/>
  <c r="V1944" i="17"/>
  <c r="V1943" i="17"/>
  <c r="V1942" i="17"/>
  <c r="V1941" i="17"/>
  <c r="V1940" i="17"/>
  <c r="V1939" i="17"/>
  <c r="V1938" i="17"/>
  <c r="V1937" i="17"/>
  <c r="V1936" i="17"/>
  <c r="V1935" i="17"/>
  <c r="V1934" i="17"/>
  <c r="V1933" i="17"/>
  <c r="V1932" i="17"/>
  <c r="V1931" i="17"/>
  <c r="V1930" i="17"/>
  <c r="V1929" i="17"/>
  <c r="V1928" i="17"/>
  <c r="V1927" i="17"/>
  <c r="V1926" i="17"/>
  <c r="V1925" i="17"/>
  <c r="V1924" i="17"/>
  <c r="V1923" i="17"/>
  <c r="V1922" i="17"/>
  <c r="V1921" i="17"/>
  <c r="V1920" i="17"/>
  <c r="V1919" i="17"/>
  <c r="V1918" i="17"/>
  <c r="V1917" i="17"/>
  <c r="V1916" i="17"/>
  <c r="V1915" i="17"/>
  <c r="V1914" i="17"/>
  <c r="V1913" i="17"/>
  <c r="V1912" i="17"/>
  <c r="V1911" i="17"/>
  <c r="V1910" i="17"/>
  <c r="V1909" i="17"/>
  <c r="V1908" i="17"/>
  <c r="V1907" i="17"/>
  <c r="V1906" i="17"/>
  <c r="V1905" i="17"/>
  <c r="V1904" i="17"/>
  <c r="V1903" i="17"/>
  <c r="V1902" i="17"/>
  <c r="V1901" i="17"/>
  <c r="V1900" i="17"/>
  <c r="V1899" i="17"/>
  <c r="V1898" i="17"/>
  <c r="V1897" i="17"/>
  <c r="V1896" i="17"/>
  <c r="V1895" i="17"/>
  <c r="V1894" i="17"/>
  <c r="V1893" i="17"/>
  <c r="V1892" i="17"/>
  <c r="V1891" i="17"/>
  <c r="V1890" i="17"/>
  <c r="V1889" i="17"/>
  <c r="V1888" i="17"/>
  <c r="V1887" i="17"/>
  <c r="V1886" i="17"/>
  <c r="V1885" i="17"/>
  <c r="V1884" i="17"/>
  <c r="V1883" i="17"/>
  <c r="V1882" i="17"/>
  <c r="V1881" i="17"/>
  <c r="V1880" i="17"/>
  <c r="V1879" i="17"/>
  <c r="V1878" i="17"/>
  <c r="V1877" i="17"/>
  <c r="V1876" i="17"/>
  <c r="V1875" i="17"/>
  <c r="V1874" i="17"/>
  <c r="V1873" i="17"/>
  <c r="V1872" i="17"/>
  <c r="V1871" i="17"/>
  <c r="V1870" i="17"/>
  <c r="V1869" i="17"/>
  <c r="V1868" i="17"/>
  <c r="V1867" i="17"/>
  <c r="V1866" i="17"/>
  <c r="V1865" i="17"/>
  <c r="V1864" i="17"/>
  <c r="V1863" i="17"/>
  <c r="V1862" i="17"/>
  <c r="V1861" i="17"/>
  <c r="V1860" i="17"/>
  <c r="V1859" i="17"/>
  <c r="V1858" i="17"/>
  <c r="V1857" i="17"/>
  <c r="V1856" i="17"/>
  <c r="V1855" i="17"/>
  <c r="V1854" i="17"/>
  <c r="V1853" i="17"/>
  <c r="V1852" i="17"/>
  <c r="V1851" i="17"/>
  <c r="V1850" i="17"/>
  <c r="V1849" i="17"/>
  <c r="V1848" i="17"/>
  <c r="V1847" i="17"/>
  <c r="V1846" i="17"/>
  <c r="V1845" i="17"/>
  <c r="V1844" i="17"/>
  <c r="V1843" i="17"/>
  <c r="V1842" i="17"/>
  <c r="V1841" i="17"/>
  <c r="V1840" i="17"/>
  <c r="V1839" i="17"/>
  <c r="V1838" i="17"/>
  <c r="V1837" i="17"/>
  <c r="V1836" i="17"/>
  <c r="V1835" i="17"/>
  <c r="V1834" i="17"/>
  <c r="V1833" i="17"/>
  <c r="V1832" i="17"/>
  <c r="V1831" i="17"/>
  <c r="V1830" i="17"/>
  <c r="V1829" i="17"/>
  <c r="V1828" i="17"/>
  <c r="V1827" i="17"/>
  <c r="V1826" i="17"/>
  <c r="V1825" i="17"/>
  <c r="V1824" i="17"/>
  <c r="V1823" i="17"/>
  <c r="V1822" i="17"/>
  <c r="V1821" i="17"/>
  <c r="V1820" i="17"/>
  <c r="V1819" i="17"/>
  <c r="V1818" i="17"/>
  <c r="V1817" i="17"/>
  <c r="V1816" i="17"/>
  <c r="V1815" i="17"/>
  <c r="V1814" i="17"/>
  <c r="V1813" i="17"/>
  <c r="V1812" i="17"/>
  <c r="V1811" i="17"/>
  <c r="V1810" i="17"/>
  <c r="V1809" i="17"/>
  <c r="V1808" i="17"/>
  <c r="V1807" i="17"/>
  <c r="V1806" i="17"/>
  <c r="V1805" i="17"/>
  <c r="V1804" i="17"/>
  <c r="V1803" i="17"/>
  <c r="V1802" i="17"/>
  <c r="V1801" i="17"/>
  <c r="V1800" i="17"/>
  <c r="V1799" i="17"/>
  <c r="V1798" i="17"/>
  <c r="V1797" i="17"/>
  <c r="V1796" i="17"/>
  <c r="V1795" i="17"/>
  <c r="V1794" i="17"/>
  <c r="V1793" i="17"/>
  <c r="V1792" i="17"/>
  <c r="V1791" i="17"/>
  <c r="V1790" i="17"/>
  <c r="V1789" i="17"/>
  <c r="V1788" i="17"/>
  <c r="V1787" i="17"/>
  <c r="V1786" i="17"/>
  <c r="V1785" i="17"/>
  <c r="V1784" i="17"/>
  <c r="V1783" i="17"/>
  <c r="V1782" i="17"/>
  <c r="V1781" i="17"/>
  <c r="V1780" i="17"/>
  <c r="V1779" i="17"/>
  <c r="V1778" i="17"/>
  <c r="V1777" i="17"/>
  <c r="V1776" i="17"/>
  <c r="V1775" i="17"/>
  <c r="V1774" i="17"/>
  <c r="V1773" i="17"/>
  <c r="V1772" i="17"/>
  <c r="V1771" i="17"/>
  <c r="V1770" i="17"/>
  <c r="V1769" i="17"/>
  <c r="V1768" i="17"/>
  <c r="V1767" i="17"/>
  <c r="V1766" i="17"/>
  <c r="V1765" i="17"/>
  <c r="V1764" i="17"/>
  <c r="V1763" i="17"/>
  <c r="V1762" i="17"/>
  <c r="V1761" i="17"/>
  <c r="V1760" i="17"/>
  <c r="V1759" i="17"/>
  <c r="V1758" i="17"/>
  <c r="V1757" i="17"/>
  <c r="V1756" i="17"/>
  <c r="V1755" i="17"/>
  <c r="V1754" i="17"/>
  <c r="V1753" i="17"/>
  <c r="V1752" i="17"/>
  <c r="V1751" i="17"/>
  <c r="V1750" i="17"/>
  <c r="V1749" i="17"/>
  <c r="V1748" i="17"/>
  <c r="V1747" i="17"/>
  <c r="V1746" i="17"/>
  <c r="V1745" i="17"/>
  <c r="V1744" i="17"/>
  <c r="V1743" i="17"/>
  <c r="V1742" i="17"/>
  <c r="V1741" i="17"/>
  <c r="V1740" i="17"/>
  <c r="V1739" i="17"/>
  <c r="V1738" i="17"/>
  <c r="V1737" i="17"/>
  <c r="V1736" i="17"/>
  <c r="V1735" i="17"/>
  <c r="V1734" i="17"/>
  <c r="V1733" i="17"/>
  <c r="V1732" i="17"/>
  <c r="V1731" i="17"/>
  <c r="V1730" i="17"/>
  <c r="V1729" i="17"/>
  <c r="V1728" i="17"/>
  <c r="V1727" i="17"/>
  <c r="V1726" i="17"/>
  <c r="V1725" i="17"/>
  <c r="V1724" i="17"/>
  <c r="V1723" i="17"/>
  <c r="V1722" i="17"/>
  <c r="V1721" i="17"/>
  <c r="V1720" i="17"/>
  <c r="V1719" i="17"/>
  <c r="V1718" i="17"/>
  <c r="V1717" i="17"/>
  <c r="V1716" i="17"/>
  <c r="V1715" i="17"/>
  <c r="V1714" i="17"/>
  <c r="V1713" i="17"/>
  <c r="V1712" i="17"/>
  <c r="V1711" i="17"/>
  <c r="V1710" i="17"/>
  <c r="V1709" i="17"/>
  <c r="V1708" i="17"/>
  <c r="V1707" i="17"/>
  <c r="V1706" i="17"/>
  <c r="V1705" i="17"/>
  <c r="V1704" i="17"/>
  <c r="V1703" i="17"/>
  <c r="V1702" i="17"/>
  <c r="V1701" i="17"/>
  <c r="V1700" i="17"/>
  <c r="V1699" i="17"/>
  <c r="V1698" i="17"/>
  <c r="V1697" i="17"/>
  <c r="V1696" i="17"/>
  <c r="V1695" i="17"/>
  <c r="V1694" i="17"/>
  <c r="V1693" i="17"/>
  <c r="V1692" i="17"/>
  <c r="V1691" i="17"/>
  <c r="V1690" i="17"/>
  <c r="V1689" i="17"/>
  <c r="V1688" i="17"/>
  <c r="V1687" i="17"/>
  <c r="V1686" i="17"/>
  <c r="V1685" i="17"/>
  <c r="V1684" i="17"/>
  <c r="V1683" i="17"/>
  <c r="V1682" i="17"/>
  <c r="V1681" i="17"/>
  <c r="V1680" i="17"/>
  <c r="V1679" i="17"/>
  <c r="V1678" i="17"/>
  <c r="V1677" i="17"/>
  <c r="V1676" i="17"/>
  <c r="V1675" i="17"/>
  <c r="V1674" i="17"/>
  <c r="V1673" i="17"/>
  <c r="V1672" i="17"/>
  <c r="V1671" i="17"/>
  <c r="V1670" i="17"/>
  <c r="V1669" i="17"/>
  <c r="V1668" i="17"/>
  <c r="V1667" i="17"/>
  <c r="V1666" i="17"/>
  <c r="V1665" i="17"/>
  <c r="V1664" i="17"/>
  <c r="V1663" i="17"/>
  <c r="V1662" i="17"/>
  <c r="V1661" i="17"/>
  <c r="V1660" i="17"/>
  <c r="V1659" i="17"/>
  <c r="V1658" i="17"/>
  <c r="V1657" i="17"/>
  <c r="V1656" i="17"/>
  <c r="V1655" i="17"/>
  <c r="V1654" i="17"/>
  <c r="V1653" i="17"/>
  <c r="V1652" i="17"/>
  <c r="V1651" i="17"/>
  <c r="V1650" i="17"/>
  <c r="V1649" i="17"/>
  <c r="V1648" i="17"/>
  <c r="V1647" i="17"/>
  <c r="V1646" i="17"/>
  <c r="V1645" i="17"/>
  <c r="V1644" i="17"/>
  <c r="V1643" i="17"/>
  <c r="V1642" i="17"/>
  <c r="V1641" i="17"/>
  <c r="V1640" i="17"/>
  <c r="V1639" i="17"/>
  <c r="V1638" i="17"/>
  <c r="V1637" i="17"/>
  <c r="V1636" i="17"/>
  <c r="V1635" i="17"/>
  <c r="V1634" i="17"/>
  <c r="V1633" i="17"/>
  <c r="V1632" i="17"/>
  <c r="V1631" i="17"/>
  <c r="V1630" i="17"/>
  <c r="V1629" i="17"/>
  <c r="V1628" i="17"/>
  <c r="V1627" i="17"/>
  <c r="V1626" i="17"/>
  <c r="V1625" i="17"/>
  <c r="V1624" i="17"/>
  <c r="V1623" i="17"/>
  <c r="V1622" i="17"/>
  <c r="V1621" i="17"/>
  <c r="V1620" i="17"/>
  <c r="V1619" i="17"/>
  <c r="V1618" i="17"/>
  <c r="V1617" i="17"/>
  <c r="V1616" i="17"/>
  <c r="V1615" i="17"/>
  <c r="V1614" i="17"/>
  <c r="V1613" i="17"/>
  <c r="V1612" i="17"/>
  <c r="V1611" i="17"/>
  <c r="V1610" i="17"/>
  <c r="V1609" i="17"/>
  <c r="V1608" i="17"/>
  <c r="V1607" i="17"/>
  <c r="V1606" i="17"/>
  <c r="V1605" i="17"/>
  <c r="V1604" i="17"/>
  <c r="V1603" i="17"/>
  <c r="V1602" i="17"/>
  <c r="V1601" i="17"/>
  <c r="V1600" i="17"/>
  <c r="V1599" i="17"/>
  <c r="V1598" i="17"/>
  <c r="V1597" i="17"/>
  <c r="V1596" i="17"/>
  <c r="V1595" i="17"/>
  <c r="V1594" i="17"/>
  <c r="V1593" i="17"/>
  <c r="V1592" i="17"/>
  <c r="V1591" i="17"/>
  <c r="V1590" i="17"/>
  <c r="V1589" i="17"/>
  <c r="V1588" i="17"/>
  <c r="V1587" i="17"/>
  <c r="V1586" i="17"/>
  <c r="V1585" i="17"/>
  <c r="V1584" i="17"/>
  <c r="V1583" i="17"/>
  <c r="V1582" i="17"/>
  <c r="V1581" i="17"/>
  <c r="V1580" i="17"/>
  <c r="V1579" i="17"/>
  <c r="V1578" i="17"/>
  <c r="V1577" i="17"/>
  <c r="V1576" i="17"/>
  <c r="V1575" i="17"/>
  <c r="V1574" i="17"/>
  <c r="V1573" i="17"/>
  <c r="V1572" i="17"/>
  <c r="V1571" i="17"/>
  <c r="V1570" i="17"/>
  <c r="V1569" i="17"/>
  <c r="V1568" i="17"/>
  <c r="V1567" i="17"/>
  <c r="V1566" i="17"/>
  <c r="V1565" i="17"/>
  <c r="V1564" i="17"/>
  <c r="V1563" i="17"/>
  <c r="V1562" i="17"/>
  <c r="V1561" i="17"/>
  <c r="V1560" i="17"/>
  <c r="V1559" i="17"/>
  <c r="V1558" i="17"/>
  <c r="V1557" i="17"/>
  <c r="V1556" i="17"/>
  <c r="V1555" i="17"/>
  <c r="V1554" i="17"/>
  <c r="V1553" i="17"/>
  <c r="V1552" i="17"/>
  <c r="V1551" i="17"/>
  <c r="V1550" i="17"/>
  <c r="V1549" i="17"/>
  <c r="V1548" i="17"/>
  <c r="V1547" i="17"/>
  <c r="V1546" i="17"/>
  <c r="V1545" i="17"/>
  <c r="V1544" i="17"/>
  <c r="V1543" i="17"/>
  <c r="V1542" i="17"/>
  <c r="V1541" i="17"/>
  <c r="V1540" i="17"/>
  <c r="V1539" i="17"/>
  <c r="V1538" i="17"/>
  <c r="V1537" i="17"/>
  <c r="V1536" i="17"/>
  <c r="V1535" i="17"/>
  <c r="V1534" i="17"/>
  <c r="V1533" i="17"/>
  <c r="V1532" i="17"/>
  <c r="V1531" i="17"/>
  <c r="V1530" i="17"/>
  <c r="V1529" i="17"/>
  <c r="V1528" i="17"/>
  <c r="V1527" i="17"/>
  <c r="V1526" i="17"/>
  <c r="V1525" i="17"/>
  <c r="V1524" i="17"/>
  <c r="V1523" i="17"/>
  <c r="V1522" i="17"/>
  <c r="V1521" i="17"/>
  <c r="V1520" i="17"/>
  <c r="V1519" i="17"/>
  <c r="V1518" i="17"/>
  <c r="V1517" i="17"/>
  <c r="V1516" i="17"/>
  <c r="V1515" i="17"/>
  <c r="V1514" i="17"/>
  <c r="V1513" i="17"/>
  <c r="V1512" i="17"/>
  <c r="V1511" i="17"/>
  <c r="V1510" i="17"/>
  <c r="V1509" i="17"/>
  <c r="V1508" i="17"/>
  <c r="V1507" i="17"/>
  <c r="V1506" i="17"/>
  <c r="V1505" i="17"/>
  <c r="V1504" i="17"/>
  <c r="V1503" i="17"/>
  <c r="V1502" i="17"/>
  <c r="V1501" i="17"/>
  <c r="V1500" i="17"/>
  <c r="V1499" i="17"/>
  <c r="V1498" i="17"/>
  <c r="V1497" i="17"/>
  <c r="V1496" i="17"/>
  <c r="V1495" i="17"/>
  <c r="V1494" i="17"/>
  <c r="V1493" i="17"/>
  <c r="V1492" i="17"/>
  <c r="V1491" i="17"/>
  <c r="V1490" i="17"/>
  <c r="V1489" i="17"/>
  <c r="V1488" i="17"/>
  <c r="V1487" i="17"/>
  <c r="V1486" i="17"/>
  <c r="V1485" i="17"/>
  <c r="V1484" i="17"/>
  <c r="V1483" i="17"/>
  <c r="V1482" i="17"/>
  <c r="V1481" i="17"/>
  <c r="V1480" i="17"/>
  <c r="V1479" i="17"/>
  <c r="V1478" i="17"/>
  <c r="V1477" i="17"/>
  <c r="V1476" i="17"/>
  <c r="V1475" i="17"/>
  <c r="V1474" i="17"/>
  <c r="V1473" i="17"/>
  <c r="V1472" i="17"/>
  <c r="V1471" i="17"/>
  <c r="V1470" i="17"/>
  <c r="V1469" i="17"/>
  <c r="V1468" i="17"/>
  <c r="V1467" i="17"/>
  <c r="V1466" i="17"/>
  <c r="V1465" i="17"/>
  <c r="V1464" i="17"/>
  <c r="V1463" i="17"/>
  <c r="V1462" i="17"/>
  <c r="V1461" i="17"/>
  <c r="V1460" i="17"/>
  <c r="V1459" i="17"/>
  <c r="V1458" i="17"/>
  <c r="V1457" i="17"/>
  <c r="V1456" i="17"/>
  <c r="V1455" i="17"/>
  <c r="V1454" i="17"/>
  <c r="V1453" i="17"/>
  <c r="V1452" i="17"/>
  <c r="V1451" i="17"/>
  <c r="V1450" i="17"/>
  <c r="V1449" i="17"/>
  <c r="V1448" i="17"/>
  <c r="V1447" i="17"/>
  <c r="V1446" i="17"/>
  <c r="V1445" i="17"/>
  <c r="V1444" i="17"/>
  <c r="V1443" i="17"/>
  <c r="V1442" i="17"/>
  <c r="V1441" i="17"/>
  <c r="V1440" i="17"/>
  <c r="V1439" i="17"/>
  <c r="V1438" i="17"/>
  <c r="V1437" i="17"/>
  <c r="V1436" i="17"/>
  <c r="V1435" i="17"/>
  <c r="V1434" i="17"/>
  <c r="V1433" i="17"/>
  <c r="V1432" i="17"/>
  <c r="V1431" i="17"/>
  <c r="V1430" i="17"/>
  <c r="V1429" i="17"/>
  <c r="V1428" i="17"/>
  <c r="V1427" i="17"/>
  <c r="V1426" i="17"/>
  <c r="V1425" i="17"/>
  <c r="V1424" i="17"/>
  <c r="V1423" i="17"/>
  <c r="V1422" i="17"/>
  <c r="V1421" i="17"/>
  <c r="V1420" i="17"/>
  <c r="V1419" i="17"/>
  <c r="V1418" i="17"/>
  <c r="V1417" i="17"/>
  <c r="V1416" i="17"/>
  <c r="V1415" i="17"/>
  <c r="V1414" i="17"/>
  <c r="V1413" i="17"/>
  <c r="V1412" i="17"/>
  <c r="V1411" i="17"/>
  <c r="V1410" i="17"/>
  <c r="V1409" i="17"/>
  <c r="V1408" i="17"/>
  <c r="V1407" i="17"/>
  <c r="V1406" i="17"/>
  <c r="V1405" i="17"/>
  <c r="V1404" i="17"/>
  <c r="V1403" i="17"/>
  <c r="V1402" i="17"/>
  <c r="V1401" i="17"/>
  <c r="V1400" i="17"/>
  <c r="V1399" i="17"/>
  <c r="V1398" i="17"/>
  <c r="V1397" i="17"/>
  <c r="V1396" i="17"/>
  <c r="V1395" i="17"/>
  <c r="V1394" i="17"/>
  <c r="V1393" i="17"/>
  <c r="V1392" i="17"/>
  <c r="V1391" i="17"/>
  <c r="V1390" i="17"/>
  <c r="V1389" i="17"/>
  <c r="V1388" i="17"/>
  <c r="V1387" i="17"/>
  <c r="V1386" i="17"/>
  <c r="V1385" i="17"/>
  <c r="V1384" i="17"/>
  <c r="V1383" i="17"/>
  <c r="V1382" i="17"/>
  <c r="V1381" i="17"/>
  <c r="V1380" i="17"/>
  <c r="V1379" i="17"/>
  <c r="V1378" i="17"/>
  <c r="V1377" i="17"/>
  <c r="V1376" i="17"/>
  <c r="V1375" i="17"/>
  <c r="V1374" i="17"/>
  <c r="V1373" i="17"/>
  <c r="V1372" i="17"/>
  <c r="V1371" i="17"/>
  <c r="V1370" i="17"/>
  <c r="V1369" i="17"/>
  <c r="V1368" i="17"/>
  <c r="V1367" i="17"/>
  <c r="V1366" i="17"/>
  <c r="V1365" i="17"/>
  <c r="V1364" i="17"/>
  <c r="V1363" i="17"/>
  <c r="V1362" i="17"/>
  <c r="V1361" i="17"/>
  <c r="V1360" i="17"/>
  <c r="V1359" i="17"/>
  <c r="V1358" i="17"/>
  <c r="V1357" i="17"/>
  <c r="V1356" i="17"/>
  <c r="V1355" i="17"/>
  <c r="V1354" i="17"/>
  <c r="V1353" i="17"/>
  <c r="V1352" i="17"/>
  <c r="V1351" i="17"/>
  <c r="V1350" i="17"/>
  <c r="V1349" i="17"/>
  <c r="V1348" i="17"/>
  <c r="V1347" i="17"/>
  <c r="V1346" i="17"/>
  <c r="V1345" i="17"/>
  <c r="V1344" i="17"/>
  <c r="V1343" i="17"/>
  <c r="V1342" i="17"/>
  <c r="V1341" i="17"/>
  <c r="V1340" i="17"/>
  <c r="V1339" i="17"/>
  <c r="V1338" i="17"/>
  <c r="V1337" i="17"/>
  <c r="V1336" i="17"/>
  <c r="V1335" i="17"/>
  <c r="V1334" i="17"/>
  <c r="V1333" i="17"/>
  <c r="V1332" i="17"/>
  <c r="V1331" i="17"/>
  <c r="V1330" i="17"/>
  <c r="V1329" i="17"/>
  <c r="V1328" i="17"/>
  <c r="V1327" i="17"/>
  <c r="V1326" i="17"/>
  <c r="V1325" i="17"/>
  <c r="V1324" i="17"/>
  <c r="V1323" i="17"/>
  <c r="V1322" i="17"/>
  <c r="V1321" i="17"/>
  <c r="V1320" i="17"/>
  <c r="V1319" i="17"/>
  <c r="V1318" i="17"/>
  <c r="V1317" i="17"/>
  <c r="V1316" i="17"/>
  <c r="V1315" i="17"/>
  <c r="V1314" i="17"/>
  <c r="V1313" i="17"/>
  <c r="V1312" i="17"/>
  <c r="V1311" i="17"/>
  <c r="V1310" i="17"/>
  <c r="V1309" i="17"/>
  <c r="V1308" i="17"/>
  <c r="V1307" i="17"/>
  <c r="V1306" i="17"/>
  <c r="V1305" i="17"/>
  <c r="V1304" i="17"/>
  <c r="V1303" i="17"/>
  <c r="V1302" i="17"/>
  <c r="V1301" i="17"/>
  <c r="V1300" i="17"/>
  <c r="V1299" i="17"/>
  <c r="V1298" i="17"/>
  <c r="V1297" i="17"/>
  <c r="V1296" i="17"/>
  <c r="V1295" i="17"/>
  <c r="V1294" i="17"/>
  <c r="V1293" i="17"/>
  <c r="V1292" i="17"/>
  <c r="V1291" i="17"/>
  <c r="V1290" i="17"/>
  <c r="V1289" i="17"/>
  <c r="V1288" i="17"/>
  <c r="V1287" i="17"/>
  <c r="V1286" i="17"/>
  <c r="V1285" i="17"/>
  <c r="V1284" i="17"/>
  <c r="V1283" i="17"/>
  <c r="V1282" i="17"/>
  <c r="V1281" i="17"/>
  <c r="V1280" i="17"/>
  <c r="V1279" i="17"/>
  <c r="V1278" i="17"/>
  <c r="V1277" i="17"/>
  <c r="V1276" i="17"/>
  <c r="V1275" i="17"/>
  <c r="V1274" i="17"/>
  <c r="V1273" i="17"/>
  <c r="V1272" i="17"/>
  <c r="V1271" i="17"/>
  <c r="V1270" i="17"/>
  <c r="V1269" i="17"/>
  <c r="V1268" i="17"/>
  <c r="V1267" i="17"/>
  <c r="V1266" i="17"/>
  <c r="V1265" i="17"/>
  <c r="V1264" i="17"/>
  <c r="V1263" i="17"/>
  <c r="V1262" i="17"/>
  <c r="V1261" i="17"/>
  <c r="V1260" i="17"/>
  <c r="V1259" i="17"/>
  <c r="V1258" i="17"/>
  <c r="V1257" i="17"/>
  <c r="V1256" i="17"/>
  <c r="V1255" i="17"/>
  <c r="V1254" i="17"/>
  <c r="V1253" i="17"/>
  <c r="V1252" i="17"/>
  <c r="V1251" i="17"/>
  <c r="V1250" i="17"/>
  <c r="V1249" i="17"/>
  <c r="V1248" i="17"/>
  <c r="V1247" i="17"/>
  <c r="V1246" i="17"/>
  <c r="V1245" i="17"/>
  <c r="V1244" i="17"/>
  <c r="V1243" i="17"/>
  <c r="V1242" i="17"/>
  <c r="V1241" i="17"/>
  <c r="V1240" i="17"/>
  <c r="V1239" i="17"/>
  <c r="V1238" i="17"/>
  <c r="V1237" i="17"/>
  <c r="V1236" i="17"/>
  <c r="V1235" i="17"/>
  <c r="V1234" i="17"/>
  <c r="V1233" i="17"/>
  <c r="V1232" i="17"/>
  <c r="V1231" i="17"/>
  <c r="V1230" i="17"/>
  <c r="V1229" i="17"/>
  <c r="V1228" i="17"/>
  <c r="V1227" i="17"/>
  <c r="V1226" i="17"/>
  <c r="V1225" i="17"/>
  <c r="V1224" i="17"/>
  <c r="V1223" i="17"/>
  <c r="V1222" i="17"/>
  <c r="V1221" i="17"/>
  <c r="V1220" i="17"/>
  <c r="V1219" i="17"/>
  <c r="V1218" i="17"/>
  <c r="V1217" i="17"/>
  <c r="V1216" i="17"/>
  <c r="V1215" i="17"/>
  <c r="V1214" i="17"/>
  <c r="V1213" i="17"/>
  <c r="V1212" i="17"/>
  <c r="V1211" i="17"/>
  <c r="V1210" i="17"/>
  <c r="V1209" i="17"/>
  <c r="V1208" i="17"/>
  <c r="V1207" i="17"/>
  <c r="V1206" i="17"/>
  <c r="V1205" i="17"/>
  <c r="V1204" i="17"/>
  <c r="V1203" i="17"/>
  <c r="V1202" i="17"/>
  <c r="V1201" i="17"/>
  <c r="V1200" i="17"/>
  <c r="V1199" i="17"/>
  <c r="V1198" i="17"/>
  <c r="V1197" i="17"/>
  <c r="V1196" i="17"/>
  <c r="V1195" i="17"/>
  <c r="V1194" i="17"/>
  <c r="V1193" i="17"/>
  <c r="V1192" i="17"/>
  <c r="V1191" i="17"/>
  <c r="V1190" i="17"/>
  <c r="V1189" i="17"/>
  <c r="V1188" i="17"/>
  <c r="V1187" i="17"/>
  <c r="V1186" i="17"/>
  <c r="V1185" i="17"/>
  <c r="V1184" i="17"/>
  <c r="V1183" i="17"/>
  <c r="V1182" i="17"/>
  <c r="V1181" i="17"/>
  <c r="V1180" i="17"/>
  <c r="V1179" i="17"/>
  <c r="V1178" i="17"/>
  <c r="V1177" i="17"/>
  <c r="V1176" i="17"/>
  <c r="V1175" i="17"/>
  <c r="V1174" i="17"/>
  <c r="V1173" i="17"/>
  <c r="V1172" i="17"/>
  <c r="V1171" i="17"/>
  <c r="V1170" i="17"/>
  <c r="V1169" i="17"/>
  <c r="V1168" i="17"/>
  <c r="V1167" i="17"/>
  <c r="V1166" i="17"/>
  <c r="V1165" i="17"/>
  <c r="V1164" i="17"/>
  <c r="V1163" i="17"/>
  <c r="V1162" i="17"/>
  <c r="V1161" i="17"/>
  <c r="V1160" i="17"/>
  <c r="V1159" i="17"/>
  <c r="V1158" i="17"/>
  <c r="V1157" i="17"/>
  <c r="V1156" i="17"/>
  <c r="V1155" i="17"/>
  <c r="V1154" i="17"/>
  <c r="V1153" i="17"/>
  <c r="V1152" i="17"/>
  <c r="V1151" i="17"/>
  <c r="V1150" i="17"/>
  <c r="V1149" i="17"/>
  <c r="V1148" i="17"/>
  <c r="V1147" i="17"/>
  <c r="V1146" i="17"/>
  <c r="V1145" i="17"/>
  <c r="V1144" i="17"/>
  <c r="V1143" i="17"/>
  <c r="V1142" i="17"/>
  <c r="V1141" i="17"/>
  <c r="V1140" i="17"/>
  <c r="V1139" i="17"/>
  <c r="V1138" i="17"/>
  <c r="V1137" i="17"/>
  <c r="V1136" i="17"/>
  <c r="V1135" i="17"/>
  <c r="V1134" i="17"/>
  <c r="V1133" i="17"/>
  <c r="V1132" i="17"/>
  <c r="V1131" i="17"/>
  <c r="V1130" i="17"/>
  <c r="V1129" i="17"/>
  <c r="V1128" i="17"/>
  <c r="V1127" i="17"/>
  <c r="V1126" i="17"/>
  <c r="V1125" i="17"/>
  <c r="V1124" i="17"/>
  <c r="V1123" i="17"/>
  <c r="V1122" i="17"/>
  <c r="V1121" i="17"/>
  <c r="V1120" i="17"/>
  <c r="V1119" i="17"/>
  <c r="V1118" i="17"/>
  <c r="V1117" i="17"/>
  <c r="V1116" i="17"/>
  <c r="V1115" i="17"/>
  <c r="V1114" i="17"/>
  <c r="V1113" i="17"/>
  <c r="V1112" i="17"/>
  <c r="V1111" i="17"/>
  <c r="V1110" i="17"/>
  <c r="V1109" i="17"/>
  <c r="V1108" i="17"/>
  <c r="V1107" i="17"/>
  <c r="V1106" i="17"/>
  <c r="V1105" i="17"/>
  <c r="V1104" i="17"/>
  <c r="V1103" i="17"/>
  <c r="V1102" i="17"/>
  <c r="V1101" i="17"/>
  <c r="V1100" i="17"/>
  <c r="V1099" i="17"/>
  <c r="V1098" i="17"/>
  <c r="V1097" i="17"/>
  <c r="V1096" i="17"/>
  <c r="V1095" i="17"/>
  <c r="V1094" i="17"/>
  <c r="V1093" i="17"/>
  <c r="V1092" i="17"/>
  <c r="V1091" i="17"/>
  <c r="V1090" i="17"/>
  <c r="V1089" i="17"/>
  <c r="V1088" i="17"/>
  <c r="V1087" i="17"/>
  <c r="V1086" i="17"/>
  <c r="V1085" i="17"/>
  <c r="V1084" i="17"/>
  <c r="V1083" i="17"/>
  <c r="V1082" i="17"/>
  <c r="V1081" i="17"/>
  <c r="V1080" i="17"/>
  <c r="V1079" i="17"/>
  <c r="V1078" i="17"/>
  <c r="V1077" i="17"/>
  <c r="V1076" i="17"/>
  <c r="V1075" i="17"/>
  <c r="V1074" i="17"/>
  <c r="V1073" i="17"/>
  <c r="V1072" i="17"/>
  <c r="V1071" i="17"/>
  <c r="V1070" i="17"/>
  <c r="V1069" i="17"/>
  <c r="V1068" i="17"/>
  <c r="V1067" i="17"/>
  <c r="V1066" i="17"/>
  <c r="V1065" i="17"/>
  <c r="V1064" i="17"/>
  <c r="V1063" i="17"/>
  <c r="V1062" i="17"/>
  <c r="V1061" i="17"/>
  <c r="V1060" i="17"/>
  <c r="V1059" i="17"/>
  <c r="V1058" i="17"/>
  <c r="V1057" i="17"/>
  <c r="V1056" i="17"/>
  <c r="V1055" i="17"/>
  <c r="V1054" i="17"/>
  <c r="V1053" i="17"/>
  <c r="V1052" i="17"/>
  <c r="V1051" i="17"/>
  <c r="V1050" i="17"/>
  <c r="V1049" i="17"/>
  <c r="V1048" i="17"/>
  <c r="V1047" i="17"/>
  <c r="V1046" i="17"/>
  <c r="V1045" i="17"/>
  <c r="V1044" i="17"/>
  <c r="V1043" i="17"/>
  <c r="V1042" i="17"/>
  <c r="V1041" i="17"/>
  <c r="V1040" i="17"/>
  <c r="V1039" i="17"/>
  <c r="V1038" i="17"/>
  <c r="V1037" i="17"/>
  <c r="V1036" i="17"/>
  <c r="V1035" i="17"/>
  <c r="V1034" i="17"/>
  <c r="V1033" i="17"/>
  <c r="V1032" i="17"/>
  <c r="V1031" i="17"/>
  <c r="V1030" i="17"/>
  <c r="V1029" i="17"/>
  <c r="V1028" i="17"/>
  <c r="V1027" i="17"/>
  <c r="V1026" i="17"/>
  <c r="V1025" i="17"/>
  <c r="V1024" i="17"/>
  <c r="V1023" i="17"/>
  <c r="V1022" i="17"/>
  <c r="V1021" i="17"/>
  <c r="V1020" i="17"/>
  <c r="V1019" i="17"/>
  <c r="V1018" i="17"/>
  <c r="V1017" i="17"/>
  <c r="V1016" i="17"/>
  <c r="V1015" i="17"/>
  <c r="V1014" i="17"/>
  <c r="V1013" i="17"/>
  <c r="V1012" i="17"/>
  <c r="V1011" i="17"/>
  <c r="V1010" i="17"/>
  <c r="V1009" i="17"/>
  <c r="V1008" i="17"/>
  <c r="V1007" i="17"/>
  <c r="V1006" i="17"/>
  <c r="V1005" i="17"/>
  <c r="V1004" i="17"/>
  <c r="V1003" i="17"/>
  <c r="V1002" i="17"/>
  <c r="V1001" i="17"/>
  <c r="V1000" i="17"/>
  <c r="V999" i="17"/>
  <c r="V998" i="17"/>
  <c r="V997" i="17"/>
  <c r="V996" i="17"/>
  <c r="V995" i="17"/>
  <c r="V994" i="17"/>
  <c r="V993" i="17"/>
  <c r="V992" i="17"/>
  <c r="V991" i="17"/>
  <c r="V990" i="17"/>
  <c r="V989" i="17"/>
  <c r="V988" i="17"/>
  <c r="V987" i="17"/>
  <c r="V986" i="17"/>
  <c r="V985" i="17"/>
  <c r="V984" i="17"/>
  <c r="V983" i="17"/>
  <c r="V982" i="17"/>
  <c r="V981" i="17"/>
  <c r="V980" i="17"/>
  <c r="V979" i="17"/>
  <c r="V978" i="17"/>
  <c r="V977" i="17"/>
  <c r="V976" i="17"/>
  <c r="V975" i="17"/>
  <c r="V974" i="17"/>
  <c r="V973" i="17"/>
  <c r="V972" i="17"/>
  <c r="V971" i="17"/>
  <c r="V970" i="17"/>
  <c r="V969" i="17"/>
  <c r="V968" i="17"/>
  <c r="V967" i="17"/>
  <c r="V966" i="17"/>
  <c r="V965" i="17"/>
  <c r="V964" i="17"/>
  <c r="V963" i="17"/>
  <c r="V962" i="17"/>
  <c r="V961" i="17"/>
  <c r="V960" i="17"/>
  <c r="V959" i="17"/>
  <c r="V958" i="17"/>
  <c r="V957" i="17"/>
  <c r="V956" i="17"/>
  <c r="V955" i="17"/>
  <c r="V954" i="17"/>
  <c r="V953" i="17"/>
  <c r="V952" i="17"/>
  <c r="V951" i="17"/>
  <c r="V950" i="17"/>
  <c r="V949" i="17"/>
  <c r="V948" i="17"/>
  <c r="V947" i="17"/>
  <c r="V946" i="17"/>
  <c r="V945" i="17"/>
  <c r="V944" i="17"/>
  <c r="V943" i="17"/>
  <c r="V942" i="17"/>
  <c r="V941" i="17"/>
  <c r="V940" i="17"/>
  <c r="V939" i="17"/>
  <c r="V938" i="17"/>
  <c r="V937" i="17"/>
  <c r="V936" i="17"/>
  <c r="V935" i="17"/>
  <c r="V934" i="17"/>
  <c r="V933" i="17"/>
  <c r="V932" i="17"/>
  <c r="V931" i="17"/>
  <c r="V930" i="17"/>
  <c r="V929" i="17"/>
  <c r="V928" i="17"/>
  <c r="V927" i="17"/>
  <c r="V926" i="17"/>
  <c r="V925" i="17"/>
  <c r="V924" i="17"/>
  <c r="V923" i="17"/>
  <c r="V922" i="17"/>
  <c r="V921" i="17"/>
  <c r="V920" i="17"/>
  <c r="V919" i="17"/>
  <c r="V918" i="17"/>
  <c r="V917" i="17"/>
  <c r="V916" i="17"/>
  <c r="V915" i="17"/>
  <c r="V914" i="17"/>
  <c r="V913" i="17"/>
  <c r="V912" i="17"/>
  <c r="V911" i="17"/>
  <c r="V910" i="17"/>
  <c r="V909" i="17"/>
  <c r="V908" i="17"/>
  <c r="V907" i="17"/>
  <c r="V906" i="17"/>
  <c r="V905" i="17"/>
  <c r="V904" i="17"/>
  <c r="V903" i="17"/>
  <c r="V902" i="17"/>
  <c r="V901" i="17"/>
  <c r="V900" i="17"/>
  <c r="V899" i="17"/>
  <c r="V898" i="17"/>
  <c r="V897" i="17"/>
  <c r="V896" i="17"/>
  <c r="V895" i="17"/>
  <c r="V894" i="17"/>
  <c r="V893" i="17"/>
  <c r="V892" i="17"/>
  <c r="V891" i="17"/>
  <c r="V890" i="17"/>
  <c r="V889" i="17"/>
  <c r="V888" i="17"/>
  <c r="V887" i="17"/>
  <c r="V886" i="17"/>
  <c r="V885" i="17"/>
  <c r="V884" i="17"/>
  <c r="V883" i="17"/>
  <c r="V868" i="17"/>
  <c r="V867" i="17"/>
  <c r="V866" i="17"/>
  <c r="V865" i="17"/>
  <c r="V864" i="17"/>
  <c r="V863" i="17"/>
  <c r="V862" i="17"/>
  <c r="V861" i="17"/>
  <c r="V860" i="17"/>
  <c r="V859" i="17"/>
  <c r="V858" i="17"/>
  <c r="V857" i="17"/>
  <c r="V856" i="17"/>
  <c r="V855" i="17"/>
  <c r="V854" i="17"/>
  <c r="V853" i="17"/>
  <c r="V852" i="17"/>
  <c r="V851" i="17"/>
  <c r="V850" i="17"/>
  <c r="V849" i="17"/>
  <c r="V848" i="17"/>
  <c r="V847" i="17"/>
  <c r="V846" i="17"/>
  <c r="V845" i="17"/>
  <c r="V844" i="17"/>
  <c r="V843" i="17"/>
  <c r="V842" i="17"/>
  <c r="V841" i="17"/>
  <c r="V840" i="17"/>
  <c r="V839" i="17"/>
  <c r="V838" i="17"/>
  <c r="V837" i="17"/>
  <c r="V836" i="17"/>
  <c r="V835" i="17"/>
  <c r="V834" i="17"/>
  <c r="V833" i="17"/>
  <c r="V832" i="17"/>
  <c r="V831" i="17"/>
  <c r="V830" i="17"/>
  <c r="V829" i="17"/>
  <c r="V828" i="17"/>
  <c r="V827" i="17"/>
  <c r="V826" i="17"/>
  <c r="V825" i="17"/>
  <c r="V824" i="17"/>
  <c r="V823" i="17"/>
  <c r="V822" i="17"/>
  <c r="V821" i="17"/>
  <c r="V820" i="17"/>
  <c r="V819" i="17"/>
  <c r="V818" i="17"/>
  <c r="V817" i="17"/>
  <c r="V816" i="17"/>
  <c r="V815" i="17"/>
  <c r="V814" i="17"/>
  <c r="V813" i="17"/>
  <c r="V812" i="17"/>
  <c r="V811" i="17"/>
  <c r="V810" i="17"/>
  <c r="V809" i="17"/>
  <c r="V808" i="17"/>
  <c r="V807" i="17"/>
  <c r="V806" i="17"/>
  <c r="V805" i="17"/>
  <c r="V804" i="17"/>
  <c r="V803" i="17"/>
  <c r="V802" i="17"/>
  <c r="V801" i="17"/>
  <c r="V800" i="17"/>
  <c r="V799" i="17"/>
  <c r="V798" i="17"/>
  <c r="V797" i="17"/>
  <c r="V796" i="17"/>
  <c r="V795" i="17"/>
  <c r="V794" i="17"/>
  <c r="V793" i="17"/>
  <c r="V792" i="17"/>
  <c r="V791" i="17"/>
  <c r="V790" i="17"/>
  <c r="V789" i="17"/>
  <c r="V788" i="17"/>
  <c r="V787" i="17"/>
  <c r="V786" i="17"/>
  <c r="V785" i="17"/>
  <c r="V784" i="17"/>
  <c r="V783" i="17"/>
  <c r="V782" i="17"/>
  <c r="V781" i="17"/>
  <c r="V780" i="17"/>
  <c r="V779" i="17"/>
  <c r="V778" i="17"/>
  <c r="V777" i="17"/>
  <c r="V776" i="17"/>
  <c r="V775" i="17"/>
  <c r="V774" i="17"/>
  <c r="V773" i="17"/>
  <c r="V772" i="17"/>
  <c r="V771" i="17"/>
  <c r="V770" i="17"/>
  <c r="V769" i="17"/>
  <c r="V768" i="17"/>
  <c r="V767" i="17"/>
  <c r="V766" i="17"/>
  <c r="V765" i="17"/>
  <c r="V764" i="17"/>
  <c r="V763" i="17"/>
  <c r="V762" i="17"/>
  <c r="V761" i="17"/>
  <c r="V760" i="17"/>
  <c r="V759" i="17"/>
  <c r="V758" i="17"/>
  <c r="V757" i="17"/>
  <c r="V756" i="17"/>
  <c r="V755" i="17"/>
  <c r="V754" i="17"/>
  <c r="V753" i="17"/>
  <c r="V752" i="17"/>
  <c r="V751" i="17"/>
  <c r="V750" i="17"/>
  <c r="V749" i="17"/>
  <c r="V748" i="17"/>
  <c r="V747" i="17"/>
  <c r="V746" i="17"/>
  <c r="V745" i="17"/>
  <c r="V744" i="17"/>
  <c r="V743" i="17"/>
  <c r="V742" i="17"/>
  <c r="V741" i="17"/>
  <c r="V740" i="17"/>
  <c r="V739" i="17"/>
  <c r="V738" i="17"/>
  <c r="V737" i="17"/>
  <c r="V736" i="17"/>
  <c r="V735" i="17"/>
  <c r="V734" i="17"/>
  <c r="V733" i="17"/>
  <c r="V732" i="17"/>
  <c r="V731" i="17"/>
  <c r="V730" i="17"/>
  <c r="V729" i="17"/>
  <c r="V728" i="17"/>
  <c r="V727" i="17"/>
  <c r="V726" i="17"/>
  <c r="V725" i="17"/>
  <c r="V724" i="17"/>
  <c r="V723" i="17"/>
  <c r="V722" i="17"/>
  <c r="V721" i="17"/>
  <c r="V720" i="17"/>
  <c r="V719" i="17"/>
  <c r="V718" i="17"/>
  <c r="V717" i="17"/>
  <c r="V716" i="17"/>
  <c r="V715" i="17"/>
  <c r="V714" i="17"/>
  <c r="V713" i="17"/>
  <c r="V712" i="17"/>
  <c r="V711" i="17"/>
  <c r="V710" i="17"/>
  <c r="V709" i="17"/>
  <c r="V708" i="17"/>
  <c r="V707" i="17"/>
  <c r="V706" i="17"/>
  <c r="V705" i="17"/>
  <c r="V704" i="17"/>
  <c r="V703" i="17"/>
  <c r="V702" i="17"/>
  <c r="V701" i="17"/>
  <c r="V700" i="17"/>
  <c r="V699" i="17"/>
  <c r="V698" i="17"/>
  <c r="V697" i="17"/>
  <c r="V696" i="17"/>
  <c r="V695" i="17"/>
  <c r="V694" i="17"/>
  <c r="V693" i="17"/>
  <c r="V692" i="17"/>
  <c r="V691" i="17"/>
  <c r="V690" i="17"/>
  <c r="V689" i="17"/>
  <c r="V688" i="17"/>
  <c r="V687" i="17"/>
  <c r="V686" i="17"/>
  <c r="V685" i="17"/>
  <c r="V684" i="17"/>
  <c r="V683" i="17"/>
  <c r="V682" i="17"/>
  <c r="V681" i="17"/>
  <c r="V680" i="17"/>
  <c r="V679" i="17"/>
  <c r="V678" i="17"/>
  <c r="V677" i="17"/>
  <c r="V676" i="17"/>
  <c r="V675" i="17"/>
  <c r="V674" i="17"/>
  <c r="V673" i="17"/>
  <c r="V672" i="17"/>
  <c r="V671" i="17"/>
  <c r="V670" i="17"/>
  <c r="V669" i="17"/>
  <c r="V668" i="17"/>
  <c r="V667" i="17"/>
  <c r="V666" i="17"/>
  <c r="V665" i="17"/>
  <c r="V664" i="17"/>
  <c r="V663" i="17"/>
  <c r="V662" i="17"/>
  <c r="V661" i="17"/>
  <c r="V660" i="17"/>
  <c r="V659" i="17"/>
  <c r="V658" i="17"/>
  <c r="V657" i="17"/>
  <c r="V656" i="17"/>
  <c r="V655" i="17"/>
  <c r="V654" i="17"/>
  <c r="V653" i="17"/>
  <c r="V652" i="17"/>
  <c r="V651" i="17"/>
  <c r="V650" i="17"/>
  <c r="V649" i="17"/>
  <c r="V648" i="17"/>
  <c r="V647" i="17"/>
  <c r="V646" i="17"/>
  <c r="V645" i="17"/>
  <c r="V644" i="17"/>
  <c r="V643" i="17"/>
  <c r="V642" i="17"/>
  <c r="V641" i="17"/>
  <c r="V640" i="17"/>
  <c r="V639" i="17"/>
  <c r="V638" i="17"/>
  <c r="V637" i="17"/>
  <c r="V636" i="17"/>
  <c r="V635" i="17"/>
  <c r="V634" i="17"/>
  <c r="V633" i="17"/>
  <c r="V632" i="17"/>
  <c r="V631" i="17"/>
  <c r="V630" i="17"/>
  <c r="V629" i="17"/>
  <c r="V628" i="17"/>
  <c r="V627" i="17"/>
  <c r="V626" i="17"/>
  <c r="V625" i="17"/>
  <c r="V624" i="17"/>
  <c r="V623" i="17"/>
  <c r="V622" i="17"/>
  <c r="V621" i="17"/>
  <c r="V620" i="17"/>
  <c r="V619" i="17"/>
  <c r="V618" i="17"/>
  <c r="V617" i="17"/>
  <c r="V616" i="17"/>
  <c r="V615" i="17"/>
  <c r="V614" i="17"/>
  <c r="V613" i="17"/>
  <c r="V612" i="17"/>
  <c r="V611" i="17"/>
  <c r="V610" i="17"/>
  <c r="V609" i="17"/>
  <c r="V608" i="17"/>
  <c r="V607" i="17"/>
  <c r="V606" i="17"/>
  <c r="V605" i="17"/>
  <c r="V604" i="17"/>
  <c r="V603" i="17"/>
  <c r="V602" i="17"/>
  <c r="V601" i="17"/>
  <c r="V600" i="17"/>
  <c r="V599" i="17"/>
  <c r="V598" i="17"/>
  <c r="V597" i="17"/>
  <c r="V596" i="17"/>
  <c r="V595" i="17"/>
  <c r="V594" i="17"/>
  <c r="V593" i="17"/>
  <c r="V592" i="17"/>
  <c r="V591" i="17"/>
  <c r="V590" i="17"/>
  <c r="V589" i="17"/>
  <c r="V588" i="17"/>
  <c r="V587" i="17"/>
  <c r="V586" i="17"/>
  <c r="V585" i="17"/>
  <c r="V584" i="17"/>
  <c r="V583" i="17"/>
  <c r="V582" i="17"/>
  <c r="V581" i="17"/>
  <c r="V580" i="17"/>
  <c r="V579" i="17"/>
  <c r="V578" i="17"/>
  <c r="V577" i="17"/>
  <c r="V576" i="17"/>
  <c r="V575" i="17"/>
  <c r="V574" i="17"/>
  <c r="V573" i="17"/>
  <c r="V572" i="17"/>
  <c r="V571" i="17"/>
  <c r="V570" i="17"/>
  <c r="V569" i="17"/>
  <c r="V568" i="17"/>
  <c r="V567" i="17"/>
  <c r="V566" i="17"/>
  <c r="V565" i="17"/>
  <c r="V564" i="17"/>
  <c r="V563" i="17"/>
  <c r="V562" i="17"/>
  <c r="V561" i="17"/>
  <c r="V560" i="17"/>
  <c r="V559" i="17"/>
  <c r="V558" i="17"/>
  <c r="V557" i="17"/>
  <c r="V556" i="17"/>
  <c r="V555" i="17"/>
  <c r="V554" i="17"/>
  <c r="V553" i="17"/>
  <c r="V552" i="17"/>
  <c r="V551" i="17"/>
  <c r="V550" i="17"/>
  <c r="V549" i="17"/>
  <c r="V548" i="17"/>
  <c r="V547" i="17"/>
  <c r="V546" i="17"/>
  <c r="V545" i="17"/>
  <c r="V544" i="17"/>
  <c r="V543" i="17"/>
  <c r="V542" i="17"/>
  <c r="V541" i="17"/>
  <c r="V540" i="17"/>
  <c r="V539" i="17"/>
  <c r="V538" i="17"/>
  <c r="V537" i="17"/>
  <c r="V536" i="17"/>
  <c r="V535" i="17"/>
  <c r="V534" i="17"/>
  <c r="V533" i="17"/>
  <c r="V532" i="17"/>
  <c r="V531" i="17"/>
  <c r="V530" i="17"/>
  <c r="V529" i="17"/>
  <c r="V528" i="17"/>
  <c r="V527" i="17"/>
  <c r="V526" i="17"/>
  <c r="V525" i="17"/>
  <c r="V524" i="17"/>
  <c r="V523" i="17"/>
  <c r="V522" i="17"/>
  <c r="V521" i="17"/>
  <c r="V520" i="17"/>
  <c r="V519" i="17"/>
  <c r="V518" i="17"/>
  <c r="V517" i="17"/>
  <c r="V516" i="17"/>
  <c r="V515" i="17"/>
  <c r="V514" i="17"/>
  <c r="V513" i="17"/>
  <c r="V512" i="17"/>
  <c r="V511" i="17"/>
  <c r="V510" i="17"/>
  <c r="V509" i="17"/>
  <c r="V508" i="17"/>
  <c r="V507" i="17"/>
  <c r="V506" i="17"/>
  <c r="V505" i="17"/>
  <c r="V504" i="17"/>
  <c r="V503" i="17"/>
  <c r="V502" i="17"/>
  <c r="V501" i="17"/>
  <c r="V500" i="17"/>
  <c r="V499" i="17"/>
  <c r="V498" i="17"/>
  <c r="V497" i="17"/>
  <c r="V496" i="17"/>
  <c r="V495" i="17"/>
  <c r="V494" i="17"/>
  <c r="V493" i="17"/>
  <c r="V492" i="17"/>
  <c r="V491" i="17"/>
  <c r="V490" i="17"/>
  <c r="V489" i="17"/>
  <c r="V488" i="17"/>
  <c r="V487" i="17"/>
  <c r="V486" i="17"/>
  <c r="V485" i="17"/>
  <c r="V484" i="17"/>
  <c r="V483" i="17"/>
  <c r="V482" i="17"/>
  <c r="V481" i="17"/>
  <c r="V480" i="17"/>
  <c r="V479" i="17"/>
  <c r="V478" i="17"/>
  <c r="V477" i="17"/>
  <c r="V476" i="17"/>
  <c r="V475" i="17"/>
  <c r="V474" i="17"/>
  <c r="V473" i="17"/>
  <c r="V472" i="17"/>
  <c r="V471" i="17"/>
  <c r="V470" i="17"/>
  <c r="V469" i="17"/>
  <c r="V468" i="17"/>
  <c r="V467" i="17"/>
  <c r="V466" i="17"/>
  <c r="V465" i="17"/>
  <c r="V464" i="17"/>
  <c r="V463" i="17"/>
  <c r="V462" i="17"/>
  <c r="V461" i="17"/>
  <c r="V460" i="17"/>
  <c r="V459" i="17"/>
  <c r="V458" i="17"/>
  <c r="V457" i="17"/>
  <c r="V456" i="17"/>
  <c r="V455" i="17"/>
  <c r="V454" i="17"/>
  <c r="V453" i="17"/>
  <c r="V452" i="17"/>
  <c r="V451" i="17"/>
  <c r="V450" i="17"/>
  <c r="V449" i="17"/>
  <c r="V448" i="17"/>
  <c r="V447" i="17"/>
  <c r="V446" i="17"/>
  <c r="V445" i="17"/>
  <c r="V444" i="17"/>
  <c r="V443" i="17"/>
  <c r="V442" i="17"/>
  <c r="V441" i="17"/>
  <c r="V440" i="17"/>
  <c r="V439" i="17"/>
  <c r="V438" i="17"/>
  <c r="V437" i="17"/>
  <c r="V436" i="17"/>
  <c r="V435" i="17"/>
  <c r="V434" i="17"/>
  <c r="V433" i="17"/>
  <c r="V432" i="17"/>
  <c r="V431" i="17"/>
  <c r="V430" i="17"/>
  <c r="V429" i="17"/>
  <c r="V428" i="17"/>
  <c r="V427" i="17"/>
  <c r="V426" i="17"/>
  <c r="V425" i="17"/>
  <c r="V424" i="17"/>
  <c r="V423" i="17"/>
  <c r="V422" i="17"/>
  <c r="V421" i="17"/>
  <c r="V420" i="17"/>
  <c r="V419" i="17"/>
  <c r="V418" i="17"/>
  <c r="V417" i="17"/>
  <c r="V416" i="17"/>
  <c r="V415" i="17"/>
  <c r="V414" i="17"/>
  <c r="V413" i="17"/>
  <c r="V412" i="17"/>
  <c r="V411" i="17"/>
  <c r="V410" i="17"/>
  <c r="V409" i="17"/>
  <c r="V408" i="17"/>
  <c r="V407" i="17"/>
  <c r="V406" i="17"/>
  <c r="V405" i="17"/>
  <c r="V404" i="17"/>
  <c r="V403" i="17"/>
  <c r="V402" i="17"/>
  <c r="V401" i="17"/>
  <c r="V400" i="17"/>
  <c r="V399" i="17"/>
  <c r="V398" i="17"/>
  <c r="V397" i="17"/>
  <c r="V396" i="17"/>
  <c r="V395" i="17"/>
  <c r="V394" i="17"/>
  <c r="V393" i="17"/>
  <c r="V392" i="17"/>
  <c r="V391" i="17"/>
  <c r="V390" i="17"/>
  <c r="V389" i="17"/>
  <c r="V388" i="17"/>
  <c r="V387" i="17"/>
  <c r="V386" i="17"/>
  <c r="V385" i="17"/>
  <c r="V384" i="17"/>
  <c r="V383" i="17"/>
  <c r="V382" i="17"/>
  <c r="V381" i="17"/>
  <c r="V380" i="17"/>
  <c r="V379" i="17"/>
  <c r="V378" i="17"/>
  <c r="V377" i="17"/>
  <c r="V376" i="17"/>
  <c r="V375" i="17"/>
  <c r="V374" i="17"/>
  <c r="V373" i="17"/>
  <c r="V372" i="17"/>
  <c r="V371" i="17"/>
  <c r="V370" i="17"/>
  <c r="V369" i="17"/>
  <c r="V368" i="17"/>
  <c r="V367" i="17"/>
  <c r="V366" i="17"/>
  <c r="V365" i="17"/>
  <c r="V364" i="17"/>
  <c r="V363" i="17"/>
  <c r="V362" i="17"/>
  <c r="V361" i="17"/>
  <c r="V360" i="17"/>
  <c r="V359" i="17"/>
  <c r="V358" i="17"/>
  <c r="V357" i="17"/>
  <c r="V356" i="17"/>
  <c r="V355" i="17"/>
  <c r="V354" i="17"/>
  <c r="V353" i="17"/>
  <c r="V352" i="17"/>
  <c r="V351" i="17"/>
  <c r="V350" i="17"/>
  <c r="V349" i="17"/>
  <c r="V348" i="17"/>
  <c r="V347" i="17"/>
  <c r="V346" i="17"/>
  <c r="V345" i="17"/>
  <c r="V344" i="17"/>
  <c r="V343" i="17"/>
  <c r="V342" i="17"/>
  <c r="V341" i="17"/>
  <c r="V340" i="17"/>
  <c r="V339" i="17"/>
  <c r="V338" i="17"/>
  <c r="V337" i="17"/>
  <c r="V336" i="17"/>
  <c r="V335" i="17"/>
  <c r="V334" i="17"/>
  <c r="V333" i="17"/>
  <c r="V332" i="17"/>
  <c r="V331" i="17"/>
  <c r="V330" i="17"/>
  <c r="V329" i="17"/>
  <c r="V328" i="17"/>
  <c r="V327" i="17"/>
  <c r="V326" i="17"/>
  <c r="V325" i="17"/>
  <c r="V324" i="17"/>
  <c r="V323" i="17"/>
  <c r="V322" i="17"/>
  <c r="V321" i="17"/>
  <c r="V320" i="17"/>
  <c r="V319" i="17"/>
  <c r="V318" i="17"/>
  <c r="V317" i="17"/>
  <c r="V316" i="17"/>
  <c r="V315" i="17"/>
  <c r="V314" i="17"/>
  <c r="V313" i="17"/>
  <c r="V312" i="17"/>
  <c r="V311" i="17"/>
  <c r="V310" i="17"/>
  <c r="V309" i="17"/>
  <c r="V308" i="17"/>
  <c r="V307" i="17"/>
  <c r="V306" i="17"/>
  <c r="V305" i="17"/>
  <c r="V304" i="17"/>
  <c r="V303" i="17"/>
  <c r="V302" i="17"/>
  <c r="V301" i="17"/>
  <c r="V300" i="17"/>
  <c r="V299" i="17"/>
  <c r="V298" i="17"/>
  <c r="V297" i="17"/>
  <c r="V296" i="17"/>
  <c r="V295" i="17"/>
  <c r="V294" i="17"/>
  <c r="V293" i="17"/>
  <c r="V292" i="17"/>
  <c r="V291" i="17"/>
  <c r="V290" i="17"/>
  <c r="V289" i="17"/>
  <c r="V288" i="17"/>
  <c r="V287" i="17"/>
  <c r="V286" i="17"/>
  <c r="V285" i="17"/>
  <c r="V284" i="17"/>
  <c r="V283" i="17"/>
  <c r="V282" i="17"/>
  <c r="V281" i="17"/>
  <c r="V280" i="17"/>
  <c r="V279" i="17"/>
  <c r="V278" i="17"/>
  <c r="V277" i="17"/>
  <c r="V276" i="17"/>
  <c r="V275" i="17"/>
  <c r="V274" i="17"/>
  <c r="V273" i="17"/>
  <c r="V272" i="17"/>
  <c r="V271" i="17"/>
  <c r="V270" i="17"/>
  <c r="V269" i="17"/>
  <c r="V268" i="17"/>
  <c r="V267" i="17"/>
  <c r="V266" i="17"/>
  <c r="V265" i="17"/>
  <c r="V264" i="17"/>
  <c r="V263" i="17"/>
  <c r="V262" i="17"/>
  <c r="V261" i="17"/>
  <c r="V260" i="17"/>
  <c r="V259" i="17"/>
  <c r="V258" i="17"/>
  <c r="V257" i="17"/>
  <c r="V256" i="17"/>
  <c r="V255" i="17"/>
  <c r="V254" i="17"/>
  <c r="V253" i="17"/>
  <c r="V252" i="17"/>
  <c r="V251" i="17"/>
  <c r="V250" i="17"/>
  <c r="V249" i="17"/>
  <c r="V248" i="17"/>
  <c r="V247" i="17"/>
  <c r="V246" i="17"/>
  <c r="V245" i="17"/>
  <c r="V244" i="17"/>
  <c r="V243" i="17"/>
  <c r="V242" i="17"/>
  <c r="V241" i="17"/>
  <c r="V240" i="17"/>
  <c r="V239" i="17"/>
  <c r="V238" i="17"/>
  <c r="V237" i="17"/>
  <c r="V236" i="17"/>
  <c r="V235" i="17"/>
  <c r="V234" i="17"/>
  <c r="V233" i="17"/>
  <c r="V232" i="17"/>
  <c r="V231" i="17"/>
  <c r="V230" i="17"/>
  <c r="V229" i="17"/>
  <c r="V228" i="17"/>
  <c r="V227" i="17"/>
  <c r="V226" i="17"/>
  <c r="V225" i="17"/>
  <c r="V224" i="17"/>
  <c r="V223" i="17"/>
  <c r="V222" i="17"/>
  <c r="V221" i="17"/>
  <c r="V220" i="17"/>
  <c r="V219" i="17"/>
  <c r="V218" i="17"/>
  <c r="V217" i="17"/>
  <c r="V216" i="17"/>
  <c r="V215" i="17"/>
  <c r="V214" i="17"/>
  <c r="V213" i="17"/>
  <c r="V212" i="17"/>
  <c r="V211" i="17"/>
  <c r="V210" i="17"/>
  <c r="V209" i="17"/>
  <c r="V208" i="17"/>
  <c r="V207" i="17"/>
  <c r="V206" i="17"/>
  <c r="V205" i="17"/>
  <c r="V204" i="17"/>
  <c r="V203" i="17"/>
  <c r="V202" i="17"/>
  <c r="V201" i="17"/>
  <c r="V200" i="17"/>
  <c r="V199" i="17"/>
  <c r="V198" i="17"/>
  <c r="V197" i="17"/>
  <c r="V196" i="17"/>
  <c r="V195" i="17"/>
  <c r="V194" i="17"/>
  <c r="V193" i="17"/>
  <c r="V192" i="17"/>
  <c r="V191" i="17"/>
  <c r="V190" i="17"/>
  <c r="V189" i="17"/>
  <c r="V188" i="17"/>
  <c r="V187" i="17"/>
  <c r="V186" i="17"/>
  <c r="V185" i="17"/>
  <c r="V184" i="17"/>
  <c r="V183" i="17"/>
  <c r="V182" i="17"/>
  <c r="V181" i="17"/>
  <c r="V180" i="17"/>
  <c r="V179" i="17"/>
  <c r="V178" i="17"/>
  <c r="V177" i="17"/>
  <c r="V176" i="17"/>
  <c r="V175" i="17"/>
  <c r="V174" i="17"/>
  <c r="V173" i="17"/>
  <c r="V172" i="17"/>
  <c r="V171" i="17"/>
  <c r="V170" i="17"/>
  <c r="V169" i="17"/>
  <c r="V168" i="17"/>
  <c r="V167" i="17"/>
  <c r="V166" i="17"/>
  <c r="V165" i="17"/>
  <c r="V164" i="17"/>
  <c r="V163" i="17"/>
  <c r="V162" i="17"/>
  <c r="V161" i="17"/>
  <c r="V160" i="17"/>
  <c r="V159" i="17"/>
  <c r="V158" i="17"/>
  <c r="V157" i="17"/>
  <c r="V156" i="17"/>
  <c r="V155" i="17"/>
  <c r="V154" i="17"/>
  <c r="V153" i="17"/>
  <c r="V152" i="17"/>
  <c r="V151" i="17"/>
  <c r="V150" i="17"/>
  <c r="V149" i="17"/>
  <c r="V148" i="17"/>
  <c r="V147" i="17"/>
  <c r="V146" i="17"/>
  <c r="V145" i="17"/>
  <c r="V144" i="17"/>
  <c r="V143" i="17"/>
  <c r="V142" i="17"/>
  <c r="V141" i="17"/>
  <c r="V140" i="17"/>
  <c r="V139" i="17"/>
  <c r="V138" i="17"/>
  <c r="V137" i="17"/>
  <c r="V136" i="17"/>
  <c r="V135" i="17"/>
  <c r="V134" i="17"/>
  <c r="V133" i="17"/>
  <c r="V132" i="17"/>
  <c r="V131" i="17"/>
  <c r="V130" i="17"/>
  <c r="V129" i="17"/>
  <c r="V128" i="17"/>
  <c r="V127" i="17"/>
  <c r="V126" i="17"/>
  <c r="V125" i="17"/>
  <c r="V124" i="17"/>
  <c r="V123" i="17"/>
  <c r="V122" i="17"/>
  <c r="V121" i="17"/>
  <c r="V120" i="17"/>
  <c r="V119" i="17"/>
  <c r="V118" i="17"/>
  <c r="V117" i="17"/>
  <c r="V116" i="17"/>
  <c r="V115" i="17"/>
  <c r="V114" i="17"/>
  <c r="V113" i="17"/>
  <c r="V112" i="17"/>
  <c r="V111" i="17"/>
  <c r="V110" i="17"/>
  <c r="V109" i="17"/>
  <c r="V108" i="17"/>
  <c r="V107" i="17"/>
  <c r="V106" i="17"/>
  <c r="V105" i="17"/>
  <c r="V104" i="17"/>
  <c r="V103" i="17"/>
  <c r="V102" i="17"/>
  <c r="V101" i="17"/>
  <c r="V100" i="17"/>
  <c r="V99" i="17"/>
  <c r="V98" i="17"/>
  <c r="V97" i="17"/>
  <c r="V96" i="17"/>
  <c r="V95" i="17"/>
  <c r="V94" i="17"/>
  <c r="V93" i="17"/>
  <c r="V92" i="17"/>
  <c r="V91" i="17"/>
  <c r="V90" i="17"/>
  <c r="V89" i="17"/>
  <c r="V88" i="17"/>
  <c r="V87" i="17"/>
  <c r="V86" i="17"/>
  <c r="V85" i="17"/>
  <c r="V84" i="17"/>
  <c r="V83" i="17"/>
  <c r="V82" i="17"/>
  <c r="V81" i="17"/>
  <c r="V80" i="17"/>
  <c r="V79" i="17"/>
  <c r="V78" i="17"/>
  <c r="V77" i="17"/>
  <c r="V76" i="17"/>
  <c r="V75" i="17"/>
  <c r="V74" i="17"/>
  <c r="V73" i="17"/>
  <c r="V72" i="17"/>
  <c r="V71" i="17"/>
  <c r="V70" i="17"/>
  <c r="V69" i="17"/>
  <c r="V68" i="17"/>
  <c r="V67" i="17"/>
  <c r="V66" i="17"/>
  <c r="V65" i="17"/>
  <c r="V64" i="17"/>
  <c r="V63" i="17"/>
  <c r="V62" i="17"/>
  <c r="V61" i="17"/>
  <c r="V60" i="17"/>
  <c r="V59" i="17"/>
  <c r="V58" i="17"/>
  <c r="V57" i="17"/>
  <c r="V56" i="17"/>
  <c r="V55" i="17"/>
  <c r="V54" i="17"/>
  <c r="V53" i="17"/>
  <c r="V52" i="17"/>
  <c r="V51" i="17"/>
  <c r="V50" i="17"/>
  <c r="V49" i="17"/>
  <c r="V48" i="17"/>
  <c r="V47" i="17"/>
  <c r="V46" i="17"/>
  <c r="V45" i="17"/>
  <c r="V44" i="17"/>
  <c r="V43" i="17"/>
  <c r="V42" i="17"/>
  <c r="V41" i="17"/>
  <c r="V40" i="17"/>
  <c r="V39" i="17"/>
  <c r="V38" i="17"/>
  <c r="V37" i="17"/>
  <c r="V36" i="17"/>
  <c r="V35" i="17"/>
  <c r="V34" i="17"/>
  <c r="V33" i="17"/>
  <c r="V32" i="17"/>
  <c r="V31" i="17"/>
  <c r="V30" i="17"/>
  <c r="V29" i="17"/>
  <c r="V28" i="17"/>
  <c r="V27" i="17"/>
  <c r="V26" i="17"/>
  <c r="V25" i="17"/>
  <c r="V24" i="17"/>
  <c r="V23" i="17"/>
  <c r="V12" i="17"/>
  <c r="V11" i="17"/>
  <c r="V10" i="17"/>
  <c r="V9" i="17"/>
  <c r="V8" i="17"/>
  <c r="V7" i="17"/>
  <c r="V6" i="17"/>
  <c r="V5" i="17"/>
  <c r="V4" i="17"/>
  <c r="V3" i="17"/>
  <c r="V2" i="17"/>
  <c r="S30" i="17"/>
  <c r="S28" i="17"/>
  <c r="S27" i="17"/>
  <c r="S26" i="17"/>
  <c r="S21" i="17"/>
  <c r="S17" i="17"/>
  <c r="S13" i="17"/>
  <c r="C21" i="8"/>
  <c r="S5" i="17"/>
  <c r="E5" i="8" s="1"/>
  <c r="S4" i="17"/>
  <c r="S3" i="17"/>
  <c r="S9" i="17"/>
  <c r="C17" i="8" s="1"/>
  <c r="C13" i="8"/>
  <c r="C9" i="8"/>
  <c r="D5" i="8"/>
  <c r="C5" i="8"/>
  <c r="B12" i="2"/>
  <c r="B13" i="2"/>
  <c r="G3" i="2"/>
  <c r="D13" i="2"/>
  <c r="D12" i="2"/>
  <c r="H12" i="2" s="1"/>
  <c r="I22" i="2"/>
  <c r="E12" i="2"/>
  <c r="G12" i="2" s="1"/>
  <c r="E13" i="2"/>
  <c r="I20" i="2"/>
  <c r="C12" i="2"/>
  <c r="F12" i="2"/>
  <c r="F13" i="2"/>
  <c r="E8" i="2"/>
  <c r="H8" i="2"/>
  <c r="D9" i="2"/>
  <c r="G9" i="2"/>
  <c r="G6" i="2"/>
  <c r="I23" i="2"/>
  <c r="I21" i="2"/>
  <c r="I19" i="2"/>
  <c r="A12" i="2"/>
  <c r="G5" i="2"/>
  <c r="G4" i="2"/>
  <c r="A13" i="2"/>
  <c r="E9" i="2"/>
  <c r="F9" i="2"/>
  <c r="F8" i="2"/>
  <c r="I8" i="2"/>
  <c r="E7" i="15"/>
  <c r="E6" i="15"/>
  <c r="G5" i="15"/>
  <c r="F5" i="15"/>
  <c r="E8" i="6"/>
  <c r="E14" i="6"/>
  <c r="E15" i="6"/>
  <c r="E16" i="6"/>
  <c r="H14" i="6"/>
  <c r="F9" i="6"/>
  <c r="H10" i="6"/>
  <c r="I10" i="6"/>
  <c r="D10" i="6"/>
  <c r="I9" i="6"/>
  <c r="H9" i="6"/>
  <c r="G9" i="6"/>
  <c r="E9" i="6"/>
  <c r="I8" i="6"/>
  <c r="H8" i="6"/>
  <c r="G8" i="6"/>
  <c r="F8" i="6"/>
  <c r="H7" i="6"/>
  <c r="I7" i="6"/>
  <c r="G7" i="6"/>
  <c r="F7" i="6"/>
  <c r="E7" i="6"/>
  <c r="I6" i="6"/>
  <c r="H6" i="6"/>
  <c r="G6" i="6"/>
  <c r="F6" i="6"/>
  <c r="E6" i="6"/>
  <c r="H5" i="6"/>
  <c r="I5" i="6"/>
  <c r="G5" i="6"/>
  <c r="F5" i="6"/>
  <c r="E5" i="6"/>
  <c r="G20" i="12"/>
  <c r="H5" i="12"/>
  <c r="B41" i="18"/>
  <c r="B38" i="18"/>
  <c r="D3" i="18"/>
  <c r="C24" i="18"/>
  <c r="C27" i="18"/>
  <c r="B24" i="18"/>
  <c r="B23" i="18"/>
  <c r="B22" i="18"/>
  <c r="C30" i="18"/>
  <c r="B30" i="18"/>
  <c r="B29" i="18"/>
  <c r="B27" i="18"/>
  <c r="B26" i="18"/>
  <c r="F3" i="18"/>
  <c r="G3" i="18"/>
  <c r="B25" i="7"/>
  <c r="B23" i="7"/>
  <c r="I22" i="7"/>
  <c r="H22" i="7"/>
  <c r="G22" i="7"/>
  <c r="F22" i="7"/>
  <c r="I10" i="7"/>
  <c r="H10" i="7"/>
  <c r="B13" i="7"/>
  <c r="G10" i="7"/>
  <c r="F10" i="7"/>
  <c r="B11" i="7"/>
  <c r="F21" i="7"/>
  <c r="H19" i="7"/>
  <c r="I26" i="7"/>
  <c r="I25" i="7"/>
  <c r="I24" i="7"/>
  <c r="I23" i="7"/>
  <c r="H26" i="7"/>
  <c r="H25" i="7"/>
  <c r="H24" i="7"/>
  <c r="H23" i="7"/>
  <c r="F18" i="7"/>
  <c r="F19" i="7"/>
  <c r="G26" i="7"/>
  <c r="G25" i="7"/>
  <c r="G24" i="7"/>
  <c r="F26" i="7"/>
  <c r="F25" i="7"/>
  <c r="F24" i="7"/>
  <c r="G23" i="7"/>
  <c r="F23" i="7"/>
  <c r="H6" i="7"/>
  <c r="I14" i="7"/>
  <c r="I13" i="7"/>
  <c r="I12" i="7"/>
  <c r="I11" i="7"/>
  <c r="H14" i="7"/>
  <c r="H13" i="7"/>
  <c r="H12" i="7"/>
  <c r="H11" i="7"/>
  <c r="F6" i="7"/>
  <c r="G14" i="7"/>
  <c r="G13" i="7"/>
  <c r="G12" i="7"/>
  <c r="G11" i="7"/>
  <c r="F14" i="7"/>
  <c r="F13" i="7"/>
  <c r="F12" i="7"/>
  <c r="F11" i="7"/>
  <c r="H18" i="7"/>
  <c r="H7" i="7"/>
  <c r="F7" i="7"/>
  <c r="B4" i="16"/>
  <c r="B7" i="16"/>
  <c r="H4" i="16"/>
  <c r="H15" i="16"/>
  <c r="H14" i="16"/>
  <c r="G14" i="16"/>
  <c r="G15" i="16"/>
  <c r="B5" i="16"/>
  <c r="B6" i="16"/>
  <c r="E4" i="16"/>
  <c r="E5" i="16"/>
  <c r="H11" i="16"/>
  <c r="H5" i="16"/>
  <c r="H10" i="16"/>
  <c r="H13" i="16"/>
  <c r="H7" i="16"/>
  <c r="H8" i="16"/>
  <c r="E6" i="16"/>
  <c r="E9" i="13"/>
  <c r="DZ4" i="21"/>
  <c r="DZ7" i="21"/>
  <c r="DN4" i="21"/>
  <c r="DN5" i="21"/>
  <c r="DN7" i="21"/>
  <c r="DB4" i="21"/>
  <c r="DB5" i="21"/>
  <c r="CP4" i="21"/>
  <c r="CP8" i="21"/>
  <c r="O8" i="21" s="1"/>
  <c r="CD4" i="21"/>
  <c r="CD8" i="21"/>
  <c r="BF7" i="21"/>
  <c r="BF8" i="21"/>
  <c r="AT4" i="21"/>
  <c r="AT5" i="21"/>
  <c r="E16" i="21" s="1"/>
  <c r="AT6" i="21"/>
  <c r="AT9" i="21"/>
  <c r="AH4" i="21"/>
  <c r="AH5" i="21"/>
  <c r="AH6" i="21"/>
  <c r="AH7" i="21"/>
  <c r="AH9" i="21"/>
  <c r="I9" i="13"/>
  <c r="E3" i="11"/>
  <c r="M3" i="23"/>
  <c r="Q3" i="23"/>
  <c r="Q23" i="23"/>
  <c r="R23" i="23" s="1"/>
  <c r="L24" i="23" s="1"/>
  <c r="M24" i="23" s="1"/>
  <c r="N24" i="23" s="1"/>
  <c r="O24" i="23" s="1"/>
  <c r="P24" i="23" s="1"/>
  <c r="Q24" i="23" s="1"/>
  <c r="R24" i="23" s="1"/>
  <c r="L25" i="23"/>
  <c r="M25" i="23"/>
  <c r="N25" i="23" s="1"/>
  <c r="O25" i="23" s="1"/>
  <c r="P25" i="23" s="1"/>
  <c r="Q25" i="23" s="1"/>
  <c r="R25" i="23" s="1"/>
  <c r="L26" i="23" s="1"/>
  <c r="M26" i="23" s="1"/>
  <c r="N26" i="23" s="1"/>
  <c r="O26" i="23"/>
  <c r="P26" i="23" s="1"/>
  <c r="Q26" i="23" s="1"/>
  <c r="R26" i="23" s="1"/>
  <c r="L27" i="23" s="1"/>
  <c r="M27" i="23" s="1"/>
  <c r="N27" i="23" s="1"/>
  <c r="O27" i="23" s="1"/>
  <c r="P27" i="23" s="1"/>
  <c r="Q27" i="23" s="1"/>
  <c r="R27" i="23" s="1"/>
  <c r="L28" i="23" s="1"/>
  <c r="I3" i="23"/>
  <c r="G3" i="23"/>
  <c r="E3" i="23"/>
  <c r="E23" i="23" s="1"/>
  <c r="F23" i="23" s="1"/>
  <c r="C3" i="23"/>
  <c r="C23" i="23" s="1"/>
  <c r="D23" i="23"/>
  <c r="U3" i="23"/>
  <c r="U23" i="23"/>
  <c r="V23" i="23" s="1"/>
  <c r="AA3" i="23"/>
  <c r="AA23" i="23"/>
  <c r="U24" i="23" s="1"/>
  <c r="V24" i="23" s="1"/>
  <c r="W24" i="23" s="1"/>
  <c r="X24" i="23" s="1"/>
  <c r="Y24" i="23" s="1"/>
  <c r="Z24" i="23" s="1"/>
  <c r="AA24" i="23" s="1"/>
  <c r="U25" i="23" s="1"/>
  <c r="V25" i="23" s="1"/>
  <c r="W25" i="23" s="1"/>
  <c r="X25" i="23" s="1"/>
  <c r="Y25" i="23" s="1"/>
  <c r="Z25" i="23" s="1"/>
  <c r="AA25" i="23" s="1"/>
  <c r="U26" i="23" s="1"/>
  <c r="V26" i="23" s="1"/>
  <c r="W26" i="23" s="1"/>
  <c r="X26" i="23" s="1"/>
  <c r="Y26" i="23" s="1"/>
  <c r="Z26" i="23" s="1"/>
  <c r="AA26" i="23" s="1"/>
  <c r="U27" i="23" s="1"/>
  <c r="V27" i="23" s="1"/>
  <c r="W27" i="23" s="1"/>
  <c r="X27" i="23" s="1"/>
  <c r="Y27" i="23" s="1"/>
  <c r="Z27" i="23" s="1"/>
  <c r="AA27" i="23" s="1"/>
  <c r="U28" i="23" s="1"/>
  <c r="D2" i="23"/>
  <c r="V3" i="23"/>
  <c r="N2" i="23"/>
  <c r="D4" i="23"/>
  <c r="F4" i="23"/>
  <c r="C4" i="23"/>
  <c r="C37" i="23" s="1"/>
  <c r="D37" i="23" s="1"/>
  <c r="G4" i="23"/>
  <c r="I20" i="1"/>
  <c r="H20" i="1"/>
  <c r="G20" i="1"/>
  <c r="V28" i="23" l="1"/>
  <c r="W28" i="23" s="1"/>
  <c r="X28" i="23" s="1"/>
  <c r="Y28" i="23" s="1"/>
  <c r="Z28" i="23" s="1"/>
  <c r="AA28" i="23" s="1"/>
  <c r="BX8" i="21"/>
  <c r="BX5" i="21"/>
  <c r="BX7" i="21"/>
  <c r="BX10" i="21"/>
  <c r="BX6" i="21"/>
  <c r="BX11" i="21"/>
  <c r="BX14" i="21"/>
  <c r="BX9" i="21"/>
  <c r="BX13" i="21"/>
  <c r="BX4" i="21"/>
  <c r="J20" i="21" s="1"/>
  <c r="BX12" i="21"/>
  <c r="M23" i="23"/>
  <c r="V2" i="23"/>
  <c r="N4" i="23"/>
  <c r="N37" i="23" s="1"/>
  <c r="O4" i="23"/>
  <c r="L4" i="23"/>
  <c r="L37" i="23" s="1"/>
  <c r="P4" i="23"/>
  <c r="P37" i="23" s="1"/>
  <c r="M4" i="23"/>
  <c r="M37" i="23" s="1"/>
  <c r="Q4" i="23"/>
  <c r="Q37" i="23" s="1"/>
  <c r="R4" i="23"/>
  <c r="R37" i="23" s="1"/>
  <c r="L38" i="23" s="1"/>
  <c r="M38" i="23" s="1"/>
  <c r="N38" i="23" s="1"/>
  <c r="O38" i="23" s="1"/>
  <c r="P38" i="23" s="1"/>
  <c r="Q38" i="23" s="1"/>
  <c r="R38" i="23" s="1"/>
  <c r="L39" i="23" s="1"/>
  <c r="M39" i="23" s="1"/>
  <c r="N39" i="23" s="1"/>
  <c r="O39" i="23" s="1"/>
  <c r="P39" i="23" s="1"/>
  <c r="Q39" i="23" s="1"/>
  <c r="R39" i="23" s="1"/>
  <c r="L40" i="23" s="1"/>
  <c r="M40" i="23" s="1"/>
  <c r="N40" i="23" s="1"/>
  <c r="O40" i="23" s="1"/>
  <c r="P40" i="23" s="1"/>
  <c r="Q40" i="23" s="1"/>
  <c r="R40" i="23" s="1"/>
  <c r="L41" i="23" s="1"/>
  <c r="M41" i="23" s="1"/>
  <c r="N41" i="23" s="1"/>
  <c r="O41" i="23" s="1"/>
  <c r="P41" i="23" s="1"/>
  <c r="Q41" i="23" s="1"/>
  <c r="R41" i="23" s="1"/>
  <c r="L42" i="23" s="1"/>
  <c r="K28" i="23"/>
  <c r="M28" i="23"/>
  <c r="N28" i="23" s="1"/>
  <c r="O28" i="23" s="1"/>
  <c r="P28" i="23" s="1"/>
  <c r="Q28" i="23" s="1"/>
  <c r="R28" i="23" s="1"/>
  <c r="BR12" i="21"/>
  <c r="BR9" i="21"/>
  <c r="BR6" i="21"/>
  <c r="BR10" i="21"/>
  <c r="BR11" i="21"/>
  <c r="BR14" i="21"/>
  <c r="BR13" i="21"/>
  <c r="BR4" i="21"/>
  <c r="BR7" i="21"/>
  <c r="J12" i="21" s="1"/>
  <c r="BR8" i="21"/>
  <c r="BR5" i="21"/>
  <c r="AN4" i="21"/>
  <c r="AN9" i="21"/>
  <c r="AN11" i="21"/>
  <c r="AN8" i="21"/>
  <c r="AN5" i="21"/>
  <c r="AN7" i="21"/>
  <c r="AN6" i="21"/>
  <c r="E12" i="21" s="1"/>
  <c r="AN10" i="21"/>
  <c r="DZ6" i="21"/>
  <c r="DZ5" i="21"/>
  <c r="DZ8" i="21"/>
  <c r="T12" i="21" s="1"/>
  <c r="CV5" i="21"/>
  <c r="CV6" i="21"/>
  <c r="CV4" i="21"/>
  <c r="CV9" i="21"/>
  <c r="O12" i="21" s="1"/>
  <c r="CV11" i="21"/>
  <c r="CV8" i="21"/>
  <c r="CV12" i="21"/>
  <c r="CV7" i="21"/>
  <c r="CV10" i="21"/>
  <c r="D13" i="13"/>
  <c r="F13" i="13" s="1"/>
  <c r="CV13" i="21"/>
  <c r="J5" i="12"/>
  <c r="I5" i="12"/>
  <c r="G5" i="12"/>
  <c r="H6" i="12"/>
  <c r="E17" i="6"/>
  <c r="G3" i="11"/>
  <c r="D4" i="11"/>
  <c r="F3" i="11"/>
  <c r="DT5" i="21"/>
  <c r="DT6" i="21"/>
  <c r="DT8" i="21"/>
  <c r="T8" i="21" s="1"/>
  <c r="DT7" i="21"/>
  <c r="DT4" i="21"/>
  <c r="CP6" i="21"/>
  <c r="CP10" i="21"/>
  <c r="CP9" i="21"/>
  <c r="CP7" i="21"/>
  <c r="CP5" i="21"/>
  <c r="H4" i="23"/>
  <c r="E4" i="23"/>
  <c r="E37" i="23" s="1"/>
  <c r="F37" i="23" s="1"/>
  <c r="G37" i="23" s="1"/>
  <c r="I4" i="23"/>
  <c r="I10" i="13"/>
  <c r="E12" i="13" s="1"/>
  <c r="D12" i="13"/>
  <c r="F10" i="13" s="1"/>
  <c r="H9" i="13"/>
  <c r="F11" i="13" s="1"/>
  <c r="G23" i="23"/>
  <c r="H23" i="23" s="1"/>
  <c r="I23" i="23" s="1"/>
  <c r="C24" i="23" s="1"/>
  <c r="D24" i="23" s="1"/>
  <c r="E24" i="23" s="1"/>
  <c r="F24" i="23" s="1"/>
  <c r="G24" i="23" s="1"/>
  <c r="H24" i="23" s="1"/>
  <c r="I24" i="23" s="1"/>
  <c r="C25" i="23" s="1"/>
  <c r="D25" i="23" s="1"/>
  <c r="E25" i="23" s="1"/>
  <c r="F25" i="23" s="1"/>
  <c r="G25" i="23" s="1"/>
  <c r="H25" i="23" s="1"/>
  <c r="I25" i="23" s="1"/>
  <c r="C26" i="23" s="1"/>
  <c r="D26" i="23" s="1"/>
  <c r="E26" i="23" s="1"/>
  <c r="F26" i="23" s="1"/>
  <c r="G26" i="23" s="1"/>
  <c r="H26" i="23" s="1"/>
  <c r="I26" i="23" s="1"/>
  <c r="C27" i="23" s="1"/>
  <c r="D27" i="23" s="1"/>
  <c r="E27" i="23" s="1"/>
  <c r="F27" i="23" s="1"/>
  <c r="G27" i="23" s="1"/>
  <c r="H27" i="23" s="1"/>
  <c r="I27" i="23" s="1"/>
  <c r="C28" i="23" s="1"/>
  <c r="D4" i="18"/>
  <c r="E3" i="18"/>
  <c r="B14" i="2"/>
  <c r="G13" i="2"/>
  <c r="C13" i="2"/>
  <c r="H13" i="2"/>
  <c r="Y3" i="23"/>
  <c r="X3" i="23"/>
  <c r="W3" i="23"/>
  <c r="W23" i="23" s="1"/>
  <c r="Z3" i="23"/>
  <c r="DN6" i="21"/>
  <c r="DN8" i="21"/>
  <c r="T4" i="21" s="1"/>
  <c r="BL6" i="21"/>
  <c r="BL11" i="21"/>
  <c r="BL13" i="21"/>
  <c r="BL7" i="21"/>
  <c r="J8" i="21" s="1"/>
  <c r="BL12" i="21"/>
  <c r="AH10" i="21"/>
  <c r="AH14" i="21"/>
  <c r="AH13" i="21"/>
  <c r="CV14" i="21"/>
  <c r="AH12" i="21"/>
  <c r="CJ7" i="21"/>
  <c r="CJ6" i="21"/>
  <c r="CJ4" i="21"/>
  <c r="CJ11" i="21"/>
  <c r="CJ5" i="21"/>
  <c r="BF9" i="21"/>
  <c r="BF12" i="21"/>
  <c r="BF4" i="21"/>
  <c r="BF5" i="21"/>
  <c r="BF13" i="21"/>
  <c r="CJ10" i="21"/>
  <c r="BL9" i="21"/>
  <c r="DH4" i="21"/>
  <c r="DH7" i="21"/>
  <c r="BL10" i="21"/>
  <c r="BL5" i="21"/>
  <c r="CJ8" i="21"/>
  <c r="O4" i="21" s="1"/>
  <c r="CD10" i="21"/>
  <c r="CD12" i="21"/>
  <c r="CD14" i="21"/>
  <c r="CD5" i="21"/>
  <c r="CD6" i="21"/>
  <c r="CD7" i="21"/>
  <c r="AZ8" i="21"/>
  <c r="AZ11" i="21"/>
  <c r="AZ13" i="21"/>
  <c r="E20" i="21" s="1"/>
  <c r="AZ14" i="21"/>
  <c r="AZ15" i="21"/>
  <c r="AZ9" i="21"/>
  <c r="AB7" i="21"/>
  <c r="E4" i="21" s="1"/>
  <c r="AB5" i="21"/>
  <c r="AB12" i="21"/>
  <c r="AB10" i="21"/>
  <c r="AB8" i="21"/>
  <c r="D10" i="13"/>
  <c r="H10" i="13"/>
  <c r="F12" i="13" s="1"/>
  <c r="BF14" i="21"/>
  <c r="BF10" i="21"/>
  <c r="DH8" i="21"/>
  <c r="AZ5" i="21"/>
  <c r="DB7" i="21"/>
  <c r="DB8" i="21"/>
  <c r="CJ12" i="21"/>
  <c r="AZ10" i="21"/>
  <c r="BF6" i="21"/>
  <c r="J4" i="21" s="1"/>
  <c r="AT17" i="21"/>
  <c r="AT10" i="21"/>
  <c r="AT7" i="21"/>
  <c r="AT11" i="21"/>
  <c r="AT13" i="21"/>
  <c r="AT16" i="21"/>
  <c r="AT8" i="21"/>
  <c r="N3" i="23"/>
  <c r="N23" i="23" s="1"/>
  <c r="O3" i="23"/>
  <c r="L3" i="23"/>
  <c r="L23" i="23" s="1"/>
  <c r="H15" i="6" l="1"/>
  <c r="H16" i="6" s="1"/>
  <c r="M42" i="23"/>
  <c r="N42" i="23" s="1"/>
  <c r="O42" i="23" s="1"/>
  <c r="P42" i="23" s="1"/>
  <c r="Q42" i="23" s="1"/>
  <c r="R42" i="23" s="1"/>
  <c r="K42" i="23"/>
  <c r="I6" i="12"/>
  <c r="J6" i="12"/>
  <c r="G6" i="12"/>
  <c r="H7" i="12"/>
  <c r="Z4" i="23"/>
  <c r="AA4" i="23"/>
  <c r="E2" i="23"/>
  <c r="X4" i="23"/>
  <c r="V4" i="23"/>
  <c r="U4" i="23"/>
  <c r="U37" i="23" s="1"/>
  <c r="W4" i="23"/>
  <c r="Y4" i="23"/>
  <c r="F4" i="18"/>
  <c r="D5" i="18"/>
  <c r="G4" i="18"/>
  <c r="E4" i="18"/>
  <c r="X23" i="23"/>
  <c r="Y23" i="23" s="1"/>
  <c r="Z23" i="23" s="1"/>
  <c r="G4" i="11"/>
  <c r="D5" i="11"/>
  <c r="F4" i="11"/>
  <c r="E4" i="11"/>
  <c r="E14" i="2"/>
  <c r="H14" i="2"/>
  <c r="B15" i="2"/>
  <c r="G14" i="2"/>
  <c r="F14" i="2"/>
  <c r="D14" i="2"/>
  <c r="C14" i="2"/>
  <c r="A14" i="2"/>
  <c r="H37" i="23"/>
  <c r="I37" i="23" s="1"/>
  <c r="C38" i="23" s="1"/>
  <c r="D38" i="23" s="1"/>
  <c r="E38" i="23" s="1"/>
  <c r="F38" i="23" s="1"/>
  <c r="G38" i="23" s="1"/>
  <c r="H38" i="23" s="1"/>
  <c r="I38" i="23" s="1"/>
  <c r="C39" i="23" s="1"/>
  <c r="D39" i="23" s="1"/>
  <c r="E39" i="23" s="1"/>
  <c r="F39" i="23" s="1"/>
  <c r="G39" i="23" s="1"/>
  <c r="H39" i="23" s="1"/>
  <c r="I39" i="23" s="1"/>
  <c r="C40" i="23" s="1"/>
  <c r="D40" i="23" s="1"/>
  <c r="E40" i="23" s="1"/>
  <c r="F40" i="23" s="1"/>
  <c r="G40" i="23" s="1"/>
  <c r="H40" i="23" s="1"/>
  <c r="I40" i="23" s="1"/>
  <c r="C41" i="23" s="1"/>
  <c r="D41" i="23" s="1"/>
  <c r="E41" i="23" s="1"/>
  <c r="F41" i="23" s="1"/>
  <c r="G41" i="23" s="1"/>
  <c r="H41" i="23" s="1"/>
  <c r="I41" i="23" s="1"/>
  <c r="C42" i="23" s="1"/>
  <c r="D28" i="23"/>
  <c r="E28" i="23" s="1"/>
  <c r="F28" i="23" s="1"/>
  <c r="G28" i="23" s="1"/>
  <c r="H28" i="23" s="1"/>
  <c r="I28" i="23" s="1"/>
  <c r="B28" i="23"/>
  <c r="K23" i="23" s="1"/>
  <c r="K24" i="23" s="1"/>
  <c r="K25" i="23" s="1"/>
  <c r="K26" i="23" s="1"/>
  <c r="K27" i="23" s="1"/>
  <c r="T23" i="23" s="1"/>
  <c r="T24" i="23" s="1"/>
  <c r="T25" i="23" s="1"/>
  <c r="T26" i="23" s="1"/>
  <c r="T27" i="23" s="1"/>
  <c r="T28" i="23" s="1"/>
  <c r="B37" i="23" s="1"/>
  <c r="B38" i="23" s="1"/>
  <c r="B39" i="23" s="1"/>
  <c r="B40" i="23" s="1"/>
  <c r="B41" i="23" s="1"/>
  <c r="O23" i="23"/>
  <c r="P23" i="23" s="1"/>
  <c r="O37" i="23"/>
  <c r="B42" i="23" l="1"/>
  <c r="K37" i="23" s="1"/>
  <c r="K38" i="23" s="1"/>
  <c r="K39" i="23" s="1"/>
  <c r="K40" i="23" s="1"/>
  <c r="K41" i="23" s="1"/>
  <c r="D42" i="23"/>
  <c r="E42" i="23" s="1"/>
  <c r="F42" i="23" s="1"/>
  <c r="G42" i="23" s="1"/>
  <c r="H42" i="23" s="1"/>
  <c r="I42" i="23" s="1"/>
  <c r="D15" i="2"/>
  <c r="A15" i="2"/>
  <c r="E15" i="2"/>
  <c r="H15" i="2"/>
  <c r="B16" i="2"/>
  <c r="G15" i="2"/>
  <c r="C15" i="2"/>
  <c r="F15" i="2"/>
  <c r="B34" i="18"/>
  <c r="B35" i="18"/>
  <c r="B33" i="18"/>
  <c r="F5" i="23"/>
  <c r="F51" i="23" s="1"/>
  <c r="E5" i="23"/>
  <c r="E51" i="23" s="1"/>
  <c r="C5" i="23"/>
  <c r="C51" i="23" s="1"/>
  <c r="I5" i="23"/>
  <c r="H5" i="23"/>
  <c r="G5" i="23"/>
  <c r="D5" i="23"/>
  <c r="D51" i="23" s="1"/>
  <c r="O2" i="23"/>
  <c r="T37" i="23"/>
  <c r="T38" i="23" s="1"/>
  <c r="T39" i="23" s="1"/>
  <c r="T40" i="23" s="1"/>
  <c r="T41" i="23" s="1"/>
  <c r="F5" i="11"/>
  <c r="D6" i="11"/>
  <c r="E5" i="11"/>
  <c r="G5" i="11"/>
  <c r="V37" i="23"/>
  <c r="W37" i="23" s="1"/>
  <c r="X37" i="23" s="1"/>
  <c r="Y37" i="23" s="1"/>
  <c r="Z37" i="23" s="1"/>
  <c r="AA37" i="23" s="1"/>
  <c r="U38" i="23" s="1"/>
  <c r="V38" i="23" s="1"/>
  <c r="W38" i="23" s="1"/>
  <c r="X38" i="23" s="1"/>
  <c r="Y38" i="23" s="1"/>
  <c r="Z38" i="23" s="1"/>
  <c r="AA38" i="23" s="1"/>
  <c r="U39" i="23" s="1"/>
  <c r="V39" i="23" s="1"/>
  <c r="W39" i="23" s="1"/>
  <c r="X39" i="23" s="1"/>
  <c r="Y39" i="23" s="1"/>
  <c r="Z39" i="23" s="1"/>
  <c r="AA39" i="23" s="1"/>
  <c r="U40" i="23" s="1"/>
  <c r="V40" i="23" s="1"/>
  <c r="W40" i="23" s="1"/>
  <c r="X40" i="23" s="1"/>
  <c r="Y40" i="23" s="1"/>
  <c r="Z40" i="23" s="1"/>
  <c r="AA40" i="23" s="1"/>
  <c r="U41" i="23" s="1"/>
  <c r="V41" i="23" s="1"/>
  <c r="W41" i="23" s="1"/>
  <c r="X41" i="23" s="1"/>
  <c r="Y41" i="23" s="1"/>
  <c r="Z41" i="23" s="1"/>
  <c r="AA41" i="23" s="1"/>
  <c r="U42" i="23" s="1"/>
  <c r="F5" i="18"/>
  <c r="E5" i="18"/>
  <c r="G5" i="18"/>
  <c r="D6" i="18"/>
  <c r="B30" i="11"/>
  <c r="B31" i="11"/>
  <c r="B32" i="11"/>
  <c r="I7" i="12"/>
  <c r="H8" i="12"/>
  <c r="G7" i="12"/>
  <c r="J7" i="12"/>
  <c r="V42" i="23" l="1"/>
  <c r="W42" i="23" s="1"/>
  <c r="X42" i="23" s="1"/>
  <c r="Y42" i="23" s="1"/>
  <c r="Z42" i="23" s="1"/>
  <c r="AA42" i="23" s="1"/>
  <c r="T42" i="23"/>
  <c r="B51" i="23" s="1"/>
  <c r="B52" i="23" s="1"/>
  <c r="B53" i="23" s="1"/>
  <c r="B54" i="23" s="1"/>
  <c r="B55" i="23" s="1"/>
  <c r="M5" i="23"/>
  <c r="W2" i="23"/>
  <c r="P5" i="23"/>
  <c r="Q5" i="23"/>
  <c r="Q51" i="23" s="1"/>
  <c r="N5" i="23"/>
  <c r="R5" i="23"/>
  <c r="R51" i="23" s="1"/>
  <c r="L52" i="23" s="1"/>
  <c r="M52" i="23" s="1"/>
  <c r="N52" i="23" s="1"/>
  <c r="O52" i="23" s="1"/>
  <c r="P52" i="23" s="1"/>
  <c r="Q52" i="23" s="1"/>
  <c r="R52" i="23" s="1"/>
  <c r="L53" i="23" s="1"/>
  <c r="M53" i="23" s="1"/>
  <c r="N53" i="23" s="1"/>
  <c r="O53" i="23" s="1"/>
  <c r="P53" i="23" s="1"/>
  <c r="Q53" i="23" s="1"/>
  <c r="R53" i="23" s="1"/>
  <c r="L54" i="23" s="1"/>
  <c r="M54" i="23" s="1"/>
  <c r="N54" i="23" s="1"/>
  <c r="O54" i="23" s="1"/>
  <c r="P54" i="23" s="1"/>
  <c r="Q54" i="23" s="1"/>
  <c r="R54" i="23" s="1"/>
  <c r="L55" i="23" s="1"/>
  <c r="M55" i="23" s="1"/>
  <c r="N55" i="23" s="1"/>
  <c r="O55" i="23" s="1"/>
  <c r="P55" i="23" s="1"/>
  <c r="Q55" i="23" s="1"/>
  <c r="R55" i="23" s="1"/>
  <c r="L56" i="23" s="1"/>
  <c r="O5" i="23"/>
  <c r="L5" i="23"/>
  <c r="L51" i="23" s="1"/>
  <c r="C16" i="2"/>
  <c r="G16" i="2"/>
  <c r="D16" i="2"/>
  <c r="F16" i="2"/>
  <c r="A16" i="2"/>
  <c r="H16" i="2"/>
  <c r="B17" i="2"/>
  <c r="E16" i="2"/>
  <c r="G51" i="23"/>
  <c r="H51" i="23" s="1"/>
  <c r="I51" i="23" s="1"/>
  <c r="C52" i="23" s="1"/>
  <c r="D52" i="23" s="1"/>
  <c r="E52" i="23" s="1"/>
  <c r="F52" i="23" s="1"/>
  <c r="G52" i="23" s="1"/>
  <c r="H52" i="23" s="1"/>
  <c r="I52" i="23" s="1"/>
  <c r="C53" i="23" s="1"/>
  <c r="D53" i="23" s="1"/>
  <c r="E53" i="23" s="1"/>
  <c r="F53" i="23" s="1"/>
  <c r="G53" i="23" s="1"/>
  <c r="H53" i="23" s="1"/>
  <c r="I53" i="23" s="1"/>
  <c r="C54" i="23" s="1"/>
  <c r="D54" i="23" s="1"/>
  <c r="E54" i="23" s="1"/>
  <c r="F54" i="23" s="1"/>
  <c r="G54" i="23" s="1"/>
  <c r="H54" i="23" s="1"/>
  <c r="I54" i="23" s="1"/>
  <c r="C55" i="23" s="1"/>
  <c r="D55" i="23" s="1"/>
  <c r="E55" i="23" s="1"/>
  <c r="F55" i="23" s="1"/>
  <c r="G55" i="23" s="1"/>
  <c r="H55" i="23" s="1"/>
  <c r="I55" i="23" s="1"/>
  <c r="C56" i="23" s="1"/>
  <c r="D7" i="11"/>
  <c r="E6" i="11"/>
  <c r="F6" i="11"/>
  <c r="G6" i="11"/>
  <c r="H9" i="12"/>
  <c r="J8" i="12"/>
  <c r="G8" i="12"/>
  <c r="I8" i="12"/>
  <c r="G6" i="18"/>
  <c r="E6" i="18"/>
  <c r="D7" i="18"/>
  <c r="F6" i="18"/>
  <c r="B56" i="23" l="1"/>
  <c r="K51" i="23" s="1"/>
  <c r="K52" i="23" s="1"/>
  <c r="K53" i="23" s="1"/>
  <c r="K54" i="23" s="1"/>
  <c r="K55" i="23" s="1"/>
  <c r="D56" i="23"/>
  <c r="E56" i="23" s="1"/>
  <c r="F56" i="23" s="1"/>
  <c r="G56" i="23" s="1"/>
  <c r="H56" i="23" s="1"/>
  <c r="I56" i="23" s="1"/>
  <c r="E7" i="18"/>
  <c r="G7" i="18"/>
  <c r="D8" i="18"/>
  <c r="F7" i="18"/>
  <c r="N51" i="23"/>
  <c r="O51" i="23" s="1"/>
  <c r="P51" i="23" s="1"/>
  <c r="W5" i="23"/>
  <c r="W51" i="23" s="1"/>
  <c r="F2" i="23"/>
  <c r="Y5" i="23"/>
  <c r="U5" i="23"/>
  <c r="U51" i="23" s="1"/>
  <c r="V5" i="23"/>
  <c r="V51" i="23" s="1"/>
  <c r="X5" i="23"/>
  <c r="AA5" i="23"/>
  <c r="Z5" i="23"/>
  <c r="M56" i="23"/>
  <c r="N56" i="23" s="1"/>
  <c r="O56" i="23" s="1"/>
  <c r="P56" i="23" s="1"/>
  <c r="Q56" i="23" s="1"/>
  <c r="R56" i="23" s="1"/>
  <c r="K56" i="23"/>
  <c r="T51" i="23" s="1"/>
  <c r="T52" i="23" s="1"/>
  <c r="T53" i="23" s="1"/>
  <c r="T54" i="23" s="1"/>
  <c r="T55" i="23" s="1"/>
  <c r="M51" i="23"/>
  <c r="G17" i="2"/>
  <c r="D17" i="2"/>
  <c r="B18" i="2"/>
  <c r="C17" i="2"/>
  <c r="F17" i="2"/>
  <c r="A17" i="2"/>
  <c r="H17" i="2"/>
  <c r="E17" i="2"/>
  <c r="D8" i="11"/>
  <c r="E7" i="11"/>
  <c r="F7" i="11"/>
  <c r="G7" i="11"/>
  <c r="H10" i="12"/>
  <c r="J9" i="12"/>
  <c r="G9" i="12"/>
  <c r="I9" i="12"/>
  <c r="E8" i="18" l="1"/>
  <c r="G8" i="18"/>
  <c r="D9" i="18"/>
  <c r="F8" i="18"/>
  <c r="I10" i="12"/>
  <c r="G10" i="12"/>
  <c r="J10" i="12"/>
  <c r="H11" i="12"/>
  <c r="E18" i="2"/>
  <c r="H18" i="2"/>
  <c r="B19" i="2"/>
  <c r="C18" i="2"/>
  <c r="A18" i="2"/>
  <c r="G18" i="2"/>
  <c r="F18" i="2"/>
  <c r="D18" i="2"/>
  <c r="X51" i="23"/>
  <c r="D9" i="11"/>
  <c r="G8" i="11"/>
  <c r="E8" i="11"/>
  <c r="F8" i="11"/>
  <c r="Y51" i="23"/>
  <c r="Z51" i="23" s="1"/>
  <c r="AA51" i="23" s="1"/>
  <c r="U52" i="23" s="1"/>
  <c r="V52" i="23" s="1"/>
  <c r="W52" i="23" s="1"/>
  <c r="X52" i="23" s="1"/>
  <c r="Y52" i="23" s="1"/>
  <c r="Z52" i="23" s="1"/>
  <c r="AA52" i="23" s="1"/>
  <c r="U53" i="23" s="1"/>
  <c r="V53" i="23" s="1"/>
  <c r="W53" i="23" s="1"/>
  <c r="X53" i="23" s="1"/>
  <c r="Y53" i="23" s="1"/>
  <c r="Z53" i="23" s="1"/>
  <c r="AA53" i="23" s="1"/>
  <c r="U54" i="23" s="1"/>
  <c r="V54" i="23" s="1"/>
  <c r="W54" i="23" s="1"/>
  <c r="X54" i="23" s="1"/>
  <c r="Y54" i="23" s="1"/>
  <c r="Z54" i="23" s="1"/>
  <c r="AA54" i="23" s="1"/>
  <c r="U55" i="23" s="1"/>
  <c r="V55" i="23" s="1"/>
  <c r="W55" i="23" s="1"/>
  <c r="X55" i="23" s="1"/>
  <c r="Y55" i="23" s="1"/>
  <c r="Z55" i="23" s="1"/>
  <c r="AA55" i="23" s="1"/>
  <c r="U56" i="23" s="1"/>
  <c r="P2" i="23"/>
  <c r="D6" i="23"/>
  <c r="E6" i="23"/>
  <c r="H6" i="23"/>
  <c r="F6" i="23"/>
  <c r="F65" i="23" s="1"/>
  <c r="I6" i="23"/>
  <c r="C6" i="23"/>
  <c r="C65" i="23" s="1"/>
  <c r="G6" i="23"/>
  <c r="G65" i="23" s="1"/>
  <c r="V56" i="23" l="1"/>
  <c r="W56" i="23" s="1"/>
  <c r="X56" i="23" s="1"/>
  <c r="Y56" i="23" s="1"/>
  <c r="Z56" i="23" s="1"/>
  <c r="AA56" i="23" s="1"/>
  <c r="T56" i="23"/>
  <c r="B65" i="23" s="1"/>
  <c r="B66" i="23" s="1"/>
  <c r="B67" i="23" s="1"/>
  <c r="B68" i="23" s="1"/>
  <c r="B69" i="23" s="1"/>
  <c r="M6" i="23"/>
  <c r="L6" i="23"/>
  <c r="L65" i="23" s="1"/>
  <c r="N6" i="23"/>
  <c r="R6" i="23"/>
  <c r="R65" i="23" s="1"/>
  <c r="L66" i="23" s="1"/>
  <c r="M66" i="23" s="1"/>
  <c r="N66" i="23" s="1"/>
  <c r="O66" i="23" s="1"/>
  <c r="P66" i="23" s="1"/>
  <c r="Q66" i="23" s="1"/>
  <c r="R66" i="23" s="1"/>
  <c r="L67" i="23" s="1"/>
  <c r="M67" i="23" s="1"/>
  <c r="N67" i="23" s="1"/>
  <c r="O67" i="23" s="1"/>
  <c r="P67" i="23" s="1"/>
  <c r="Q67" i="23" s="1"/>
  <c r="R67" i="23" s="1"/>
  <c r="L68" i="23" s="1"/>
  <c r="M68" i="23" s="1"/>
  <c r="N68" i="23" s="1"/>
  <c r="O68" i="23" s="1"/>
  <c r="P68" i="23" s="1"/>
  <c r="Q68" i="23" s="1"/>
  <c r="R68" i="23" s="1"/>
  <c r="L69" i="23" s="1"/>
  <c r="M69" i="23" s="1"/>
  <c r="N69" i="23" s="1"/>
  <c r="O69" i="23" s="1"/>
  <c r="P69" i="23" s="1"/>
  <c r="Q69" i="23" s="1"/>
  <c r="R69" i="23" s="1"/>
  <c r="L70" i="23" s="1"/>
  <c r="X2" i="23"/>
  <c r="O6" i="23"/>
  <c r="Q6" i="23"/>
  <c r="P6" i="23"/>
  <c r="H65" i="23"/>
  <c r="I65" i="23" s="1"/>
  <c r="C66" i="23" s="1"/>
  <c r="D66" i="23" s="1"/>
  <c r="E66" i="23" s="1"/>
  <c r="F66" i="23" s="1"/>
  <c r="G66" i="23" s="1"/>
  <c r="H66" i="23" s="1"/>
  <c r="I66" i="23" s="1"/>
  <c r="C67" i="23" s="1"/>
  <c r="D67" i="23" s="1"/>
  <c r="E67" i="23" s="1"/>
  <c r="F67" i="23" s="1"/>
  <c r="G67" i="23" s="1"/>
  <c r="H67" i="23" s="1"/>
  <c r="I67" i="23" s="1"/>
  <c r="C68" i="23" s="1"/>
  <c r="D68" i="23" s="1"/>
  <c r="E68" i="23" s="1"/>
  <c r="F68" i="23" s="1"/>
  <c r="G68" i="23" s="1"/>
  <c r="H68" i="23" s="1"/>
  <c r="I68" i="23" s="1"/>
  <c r="C69" i="23" s="1"/>
  <c r="D69" i="23" s="1"/>
  <c r="E69" i="23" s="1"/>
  <c r="F69" i="23" s="1"/>
  <c r="G69" i="23" s="1"/>
  <c r="H69" i="23" s="1"/>
  <c r="I69" i="23" s="1"/>
  <c r="C70" i="23" s="1"/>
  <c r="G9" i="11"/>
  <c r="D10" i="11"/>
  <c r="E9" i="11"/>
  <c r="F9" i="11"/>
  <c r="E9" i="18"/>
  <c r="F9" i="18"/>
  <c r="D10" i="18"/>
  <c r="G9" i="18"/>
  <c r="C19" i="2"/>
  <c r="F19" i="2"/>
  <c r="B20" i="2"/>
  <c r="H19" i="2"/>
  <c r="D19" i="2"/>
  <c r="E19" i="2"/>
  <c r="G19" i="2"/>
  <c r="A19" i="2"/>
  <c r="D65" i="23"/>
  <c r="E65" i="23" s="1"/>
  <c r="J11" i="12"/>
  <c r="I11" i="12"/>
  <c r="H12" i="12"/>
  <c r="G11" i="12"/>
  <c r="B70" i="23" l="1"/>
  <c r="K65" i="23" s="1"/>
  <c r="K66" i="23" s="1"/>
  <c r="K67" i="23" s="1"/>
  <c r="K68" i="23" s="1"/>
  <c r="K69" i="23" s="1"/>
  <c r="D70" i="23"/>
  <c r="E70" i="23" s="1"/>
  <c r="F70" i="23" s="1"/>
  <c r="G70" i="23" s="1"/>
  <c r="H70" i="23" s="1"/>
  <c r="I70" i="23" s="1"/>
  <c r="M70" i="23"/>
  <c r="N70" i="23" s="1"/>
  <c r="O70" i="23" s="1"/>
  <c r="P70" i="23" s="1"/>
  <c r="Q70" i="23" s="1"/>
  <c r="R70" i="23" s="1"/>
  <c r="K70" i="23"/>
  <c r="T65" i="23" s="1"/>
  <c r="T66" i="23" s="1"/>
  <c r="T67" i="23" s="1"/>
  <c r="T68" i="23" s="1"/>
  <c r="T69" i="23" s="1"/>
  <c r="N65" i="23"/>
  <c r="O65" i="23" s="1"/>
  <c r="P65" i="23" s="1"/>
  <c r="Q65" i="23" s="1"/>
  <c r="G10" i="18"/>
  <c r="D11" i="18"/>
  <c r="F10" i="18"/>
  <c r="E10" i="18"/>
  <c r="M65" i="23"/>
  <c r="H20" i="2"/>
  <c r="A20" i="2"/>
  <c r="G20" i="2"/>
  <c r="D20" i="2"/>
  <c r="B21" i="2"/>
  <c r="E20" i="2"/>
  <c r="F20" i="2"/>
  <c r="C20" i="2"/>
  <c r="Y6" i="23"/>
  <c r="W6" i="23"/>
  <c r="AA6" i="23"/>
  <c r="V6" i="23"/>
  <c r="V65" i="23" s="1"/>
  <c r="X6" i="23"/>
  <c r="U6" i="23"/>
  <c r="U65" i="23" s="1"/>
  <c r="Z6" i="23"/>
  <c r="F10" i="11"/>
  <c r="G10" i="11"/>
  <c r="E10" i="11"/>
  <c r="D11" i="11"/>
  <c r="J12" i="12"/>
  <c r="H13" i="12"/>
  <c r="I12" i="12"/>
  <c r="G12" i="12"/>
  <c r="C21" i="2" l="1"/>
  <c r="F21" i="2"/>
  <c r="B22" i="2"/>
  <c r="A21" i="2"/>
  <c r="D21" i="2"/>
  <c r="G21" i="2"/>
  <c r="H21" i="2"/>
  <c r="E21" i="2"/>
  <c r="D12" i="11"/>
  <c r="E11" i="11"/>
  <c r="G11" i="11"/>
  <c r="F11" i="11"/>
  <c r="X65" i="23"/>
  <c r="Y65" i="23" s="1"/>
  <c r="Z65" i="23" s="1"/>
  <c r="AA65" i="23" s="1"/>
  <c r="U66" i="23" s="1"/>
  <c r="V66" i="23" s="1"/>
  <c r="W66" i="23" s="1"/>
  <c r="X66" i="23" s="1"/>
  <c r="Y66" i="23" s="1"/>
  <c r="Z66" i="23" s="1"/>
  <c r="AA66" i="23" s="1"/>
  <c r="U67" i="23" s="1"/>
  <c r="V67" i="23" s="1"/>
  <c r="W67" i="23" s="1"/>
  <c r="X67" i="23" s="1"/>
  <c r="Y67" i="23" s="1"/>
  <c r="Z67" i="23" s="1"/>
  <c r="AA67" i="23" s="1"/>
  <c r="U68" i="23" s="1"/>
  <c r="V68" i="23" s="1"/>
  <c r="W68" i="23" s="1"/>
  <c r="X68" i="23" s="1"/>
  <c r="Y68" i="23" s="1"/>
  <c r="Z68" i="23" s="1"/>
  <c r="AA68" i="23" s="1"/>
  <c r="U69" i="23" s="1"/>
  <c r="V69" i="23" s="1"/>
  <c r="W69" i="23" s="1"/>
  <c r="X69" i="23" s="1"/>
  <c r="Y69" i="23" s="1"/>
  <c r="Z69" i="23" s="1"/>
  <c r="AA69" i="23" s="1"/>
  <c r="U70" i="23" s="1"/>
  <c r="D12" i="18"/>
  <c r="G11" i="18"/>
  <c r="F11" i="18"/>
  <c r="E11" i="18"/>
  <c r="W65" i="23"/>
  <c r="J13" i="12"/>
  <c r="H14" i="12"/>
  <c r="G13" i="12"/>
  <c r="I13" i="12"/>
  <c r="T70" i="23" l="1"/>
  <c r="V70" i="23"/>
  <c r="W70" i="23" s="1"/>
  <c r="X70" i="23" s="1"/>
  <c r="Y70" i="23" s="1"/>
  <c r="Z70" i="23" s="1"/>
  <c r="AA70" i="23" s="1"/>
  <c r="H22" i="2"/>
  <c r="F22" i="2"/>
  <c r="B23" i="2"/>
  <c r="G22" i="2"/>
  <c r="D22" i="2"/>
  <c r="C22" i="2"/>
  <c r="E22" i="2"/>
  <c r="A22" i="2"/>
  <c r="G12" i="18"/>
  <c r="F12" i="18"/>
  <c r="E12" i="18"/>
  <c r="D13" i="18"/>
  <c r="J14" i="12"/>
  <c r="G14" i="12"/>
  <c r="H15" i="12"/>
  <c r="I14" i="12"/>
  <c r="D13" i="11"/>
  <c r="F12" i="11"/>
  <c r="G12" i="11"/>
  <c r="E12" i="11"/>
  <c r="E13" i="11" l="1"/>
  <c r="G13" i="11"/>
  <c r="F13" i="11"/>
  <c r="D14" i="11"/>
  <c r="D14" i="18"/>
  <c r="E13" i="18"/>
  <c r="G13" i="18"/>
  <c r="F13" i="18"/>
  <c r="F23" i="2"/>
  <c r="H23" i="2"/>
  <c r="D23" i="2"/>
  <c r="C23" i="2"/>
  <c r="E23" i="2"/>
  <c r="G23" i="2"/>
  <c r="B24" i="2"/>
  <c r="A23" i="2"/>
  <c r="H16" i="12"/>
  <c r="I15" i="12"/>
  <c r="J15" i="12"/>
  <c r="G15" i="12"/>
  <c r="I34" i="2" l="1"/>
  <c r="E24" i="2"/>
  <c r="I35" i="2"/>
  <c r="D24" i="2"/>
  <c r="I31" i="2"/>
  <c r="F24" i="2"/>
  <c r="C24" i="2"/>
  <c r="B25" i="2"/>
  <c r="I32" i="2"/>
  <c r="A24" i="2"/>
  <c r="I33" i="2"/>
  <c r="G24" i="2"/>
  <c r="H24" i="2"/>
  <c r="F14" i="18"/>
  <c r="E14" i="18"/>
  <c r="D15" i="18"/>
  <c r="G14" i="18"/>
  <c r="E14" i="11"/>
  <c r="F14" i="11"/>
  <c r="G14" i="11"/>
  <c r="D15" i="11"/>
  <c r="J16" i="12"/>
  <c r="H17" i="12"/>
  <c r="G16" i="12"/>
  <c r="I16" i="12"/>
  <c r="I17" i="12" l="1"/>
  <c r="G17" i="12"/>
  <c r="J17" i="12"/>
  <c r="H18" i="12"/>
  <c r="D16" i="18"/>
  <c r="G15" i="18"/>
  <c r="E15" i="18"/>
  <c r="F15" i="18"/>
  <c r="D25" i="2"/>
  <c r="E25" i="2"/>
  <c r="C25" i="2"/>
  <c r="G25" i="2"/>
  <c r="F25" i="2"/>
  <c r="B26" i="2"/>
  <c r="H25" i="2"/>
  <c r="A25" i="2"/>
  <c r="F15" i="11"/>
  <c r="D16" i="11"/>
  <c r="G15" i="11"/>
  <c r="E15" i="11"/>
  <c r="G16" i="11" l="1"/>
  <c r="E16" i="11"/>
  <c r="D17" i="11"/>
  <c r="F16" i="11"/>
  <c r="H26" i="2"/>
  <c r="F26" i="2"/>
  <c r="D26" i="2"/>
  <c r="G26" i="2"/>
  <c r="C26" i="2"/>
  <c r="E26" i="2"/>
  <c r="B27" i="2"/>
  <c r="A26" i="2"/>
  <c r="G16" i="18"/>
  <c r="F16" i="18"/>
  <c r="D17" i="18"/>
  <c r="E16" i="18"/>
  <c r="G18" i="12"/>
  <c r="I18" i="12"/>
  <c r="H19" i="12"/>
  <c r="J18" i="12"/>
  <c r="I19" i="12" l="1"/>
  <c r="J19" i="12"/>
  <c r="G19" i="12"/>
  <c r="B28" i="2"/>
  <c r="C27" i="2"/>
  <c r="H27" i="2"/>
  <c r="A27" i="2"/>
  <c r="D27" i="2"/>
  <c r="G27" i="2"/>
  <c r="E27" i="2"/>
  <c r="F27" i="2"/>
  <c r="E17" i="11"/>
  <c r="G17" i="11"/>
  <c r="F17" i="11"/>
  <c r="D18" i="11"/>
  <c r="G17" i="18"/>
  <c r="D18" i="18"/>
  <c r="F17" i="18"/>
  <c r="E17" i="18"/>
  <c r="G18" i="11" l="1"/>
  <c r="E18" i="11"/>
  <c r="D19" i="11"/>
  <c r="F18" i="11"/>
  <c r="B29" i="2"/>
  <c r="H28" i="2"/>
  <c r="F28" i="2"/>
  <c r="C28" i="2"/>
  <c r="E28" i="2"/>
  <c r="A28" i="2"/>
  <c r="G28" i="2"/>
  <c r="D28" i="2"/>
  <c r="G18" i="18"/>
  <c r="F18" i="18"/>
  <c r="D19" i="18"/>
  <c r="E18" i="18"/>
  <c r="F19" i="11" l="1"/>
  <c r="D20" i="11"/>
  <c r="G19" i="11"/>
  <c r="E19" i="11"/>
  <c r="E19" i="18"/>
  <c r="D20" i="18"/>
  <c r="G19" i="18"/>
  <c r="F19" i="18"/>
  <c r="A29" i="2"/>
  <c r="B30" i="2"/>
  <c r="D29" i="2"/>
  <c r="G29" i="2"/>
  <c r="F29" i="2"/>
  <c r="C29" i="2"/>
  <c r="E29" i="2"/>
  <c r="H29" i="2"/>
  <c r="D21" i="18" l="1"/>
  <c r="G20" i="18"/>
  <c r="F20" i="18"/>
  <c r="E20" i="18"/>
  <c r="C30" i="2"/>
  <c r="G30" i="2"/>
  <c r="E30" i="2"/>
  <c r="B31" i="2"/>
  <c r="D30" i="2"/>
  <c r="F30" i="2"/>
  <c r="A30" i="2"/>
  <c r="H30" i="2"/>
  <c r="G20" i="11"/>
  <c r="E20" i="11"/>
  <c r="D21" i="11"/>
  <c r="F20" i="11"/>
  <c r="D22" i="11" l="1"/>
  <c r="E21" i="11"/>
  <c r="G21" i="11"/>
  <c r="F21" i="11"/>
  <c r="F31" i="2"/>
  <c r="H31" i="2"/>
  <c r="A31" i="2"/>
  <c r="D31" i="2"/>
  <c r="G31" i="2"/>
  <c r="C31" i="2"/>
  <c r="B32" i="2"/>
  <c r="E31" i="2"/>
  <c r="E21" i="18"/>
  <c r="D22" i="18"/>
  <c r="G21" i="18"/>
  <c r="F21" i="18"/>
  <c r="F22" i="18" l="1"/>
  <c r="G22" i="18"/>
  <c r="E22" i="18"/>
  <c r="D23" i="18"/>
  <c r="H32" i="2"/>
  <c r="B33" i="2"/>
  <c r="A32" i="2"/>
  <c r="C32" i="2"/>
  <c r="E32" i="2"/>
  <c r="D32" i="2"/>
  <c r="G32" i="2"/>
  <c r="F32" i="2"/>
  <c r="E22" i="11"/>
  <c r="D23" i="11"/>
  <c r="F22" i="11"/>
  <c r="G22" i="11"/>
  <c r="A33" i="2" l="1"/>
  <c r="H33" i="2"/>
  <c r="D33" i="2"/>
  <c r="G33" i="2"/>
  <c r="C33" i="2"/>
  <c r="B34" i="2"/>
  <c r="E33" i="2"/>
  <c r="F33" i="2"/>
  <c r="G23" i="18"/>
  <c r="F23" i="18"/>
  <c r="E23" i="18"/>
  <c r="D24" i="18"/>
  <c r="D24" i="11"/>
  <c r="E23" i="11"/>
  <c r="G23" i="11"/>
  <c r="F23" i="11"/>
  <c r="G24" i="11" l="1"/>
  <c r="E24" i="11"/>
  <c r="D25" i="11"/>
  <c r="F24" i="11"/>
  <c r="D25" i="18"/>
  <c r="F24" i="18"/>
  <c r="G24" i="18"/>
  <c r="E24" i="18"/>
  <c r="G34" i="2"/>
  <c r="F34" i="2"/>
  <c r="H34" i="2"/>
  <c r="C34" i="2"/>
  <c r="B35" i="2"/>
  <c r="A34" i="2"/>
  <c r="D34" i="2"/>
  <c r="E34" i="2"/>
  <c r="D26" i="18" l="1"/>
  <c r="G25" i="18"/>
  <c r="E25" i="18"/>
  <c r="F25" i="18"/>
  <c r="D26" i="11"/>
  <c r="E25" i="11"/>
  <c r="G25" i="11"/>
  <c r="F25" i="11"/>
  <c r="G35" i="2"/>
  <c r="F35" i="2"/>
  <c r="D35" i="2"/>
  <c r="C35" i="2"/>
  <c r="E35" i="2"/>
  <c r="B36" i="2"/>
  <c r="H35" i="2"/>
  <c r="A35" i="2"/>
  <c r="G26" i="11" l="1"/>
  <c r="E26" i="11"/>
  <c r="D27" i="11"/>
  <c r="F26" i="11"/>
  <c r="G36" i="2"/>
  <c r="A36" i="2"/>
  <c r="F36" i="2"/>
  <c r="I46" i="2"/>
  <c r="I45" i="2"/>
  <c r="I43" i="2"/>
  <c r="I44" i="2"/>
  <c r="E36" i="2"/>
  <c r="C36" i="2"/>
  <c r="B37" i="2"/>
  <c r="I47" i="2"/>
  <c r="H36" i="2"/>
  <c r="D36" i="2"/>
  <c r="D27" i="18"/>
  <c r="G26" i="18"/>
  <c r="F26" i="18"/>
  <c r="E26" i="18"/>
  <c r="E37" i="2" l="1"/>
  <c r="B38" i="2"/>
  <c r="D37" i="2"/>
  <c r="G37" i="2"/>
  <c r="A37" i="2"/>
  <c r="C37" i="2"/>
  <c r="H37" i="2"/>
  <c r="F37" i="2"/>
  <c r="D28" i="11"/>
  <c r="E27" i="11"/>
  <c r="G27" i="11"/>
  <c r="F27" i="11"/>
  <c r="D28" i="18"/>
  <c r="G27" i="18"/>
  <c r="F27" i="18"/>
  <c r="E27" i="18"/>
  <c r="F28" i="18" l="1"/>
  <c r="G28" i="18"/>
  <c r="D29" i="18"/>
  <c r="E28" i="18"/>
  <c r="E38" i="2"/>
  <c r="B39" i="2"/>
  <c r="F38" i="2"/>
  <c r="C38" i="2"/>
  <c r="A38" i="2"/>
  <c r="D38" i="2"/>
  <c r="G38" i="2"/>
  <c r="H38" i="2"/>
  <c r="G28" i="11"/>
  <c r="E28" i="11"/>
  <c r="D29" i="11"/>
  <c r="F28" i="11"/>
  <c r="D30" i="18" l="1"/>
  <c r="G29" i="18"/>
  <c r="F29" i="18"/>
  <c r="E29" i="18"/>
  <c r="D30" i="11"/>
  <c r="E29" i="11"/>
  <c r="G29" i="11"/>
  <c r="F29" i="11"/>
  <c r="E39" i="2"/>
  <c r="B40" i="2"/>
  <c r="H39" i="2"/>
  <c r="A39" i="2"/>
  <c r="G39" i="2"/>
  <c r="F39" i="2"/>
  <c r="C39" i="2"/>
  <c r="D39" i="2"/>
  <c r="D31" i="11" l="1"/>
  <c r="F30" i="11"/>
  <c r="E30" i="11"/>
  <c r="G30" i="11"/>
  <c r="E40" i="2"/>
  <c r="B41" i="2"/>
  <c r="F40" i="2"/>
  <c r="C40" i="2"/>
  <c r="A40" i="2"/>
  <c r="G40" i="2"/>
  <c r="D40" i="2"/>
  <c r="H40" i="2"/>
  <c r="E30" i="18"/>
  <c r="D31" i="18"/>
  <c r="F30" i="18"/>
  <c r="G30" i="18"/>
  <c r="E41" i="2" l="1"/>
  <c r="B42" i="2"/>
  <c r="D41" i="2"/>
  <c r="C41" i="2"/>
  <c r="A41" i="2"/>
  <c r="H41" i="2"/>
  <c r="G41" i="2"/>
  <c r="F41" i="2"/>
  <c r="D32" i="18"/>
  <c r="G31" i="18"/>
  <c r="F31" i="18"/>
  <c r="E31" i="18"/>
  <c r="D32" i="11"/>
  <c r="E31" i="11"/>
  <c r="G31" i="11"/>
  <c r="F31" i="11"/>
  <c r="E42" i="2" l="1"/>
  <c r="B43" i="2"/>
  <c r="F42" i="2"/>
  <c r="C42" i="2"/>
  <c r="A42" i="2"/>
  <c r="H42" i="2"/>
  <c r="D42" i="2"/>
  <c r="G42" i="2"/>
  <c r="G32" i="11"/>
  <c r="E32" i="11"/>
  <c r="D33" i="11"/>
  <c r="F32" i="11"/>
  <c r="D33" i="18"/>
  <c r="G32" i="18"/>
  <c r="E32" i="18"/>
  <c r="F32" i="18"/>
  <c r="D34" i="18" l="1"/>
  <c r="G33" i="18"/>
  <c r="F33" i="18"/>
  <c r="E33" i="18"/>
  <c r="D34" i="11"/>
  <c r="E33" i="11"/>
  <c r="G33" i="11"/>
  <c r="F33" i="11"/>
  <c r="E43" i="2"/>
  <c r="B44" i="2"/>
  <c r="D43" i="2"/>
  <c r="H43" i="2"/>
  <c r="G43" i="2"/>
  <c r="F43" i="2"/>
  <c r="C43" i="2"/>
  <c r="A43" i="2"/>
  <c r="G34" i="11" l="1"/>
  <c r="E34" i="11"/>
  <c r="D35" i="11"/>
  <c r="F34" i="11"/>
  <c r="E44" i="2"/>
  <c r="B45" i="2"/>
  <c r="D44" i="2"/>
  <c r="G44" i="2"/>
  <c r="F44" i="2"/>
  <c r="H44" i="2"/>
  <c r="C44" i="2"/>
  <c r="A44" i="2"/>
  <c r="F34" i="18"/>
  <c r="E34" i="18"/>
  <c r="G34" i="18"/>
  <c r="D35" i="18"/>
  <c r="E35" i="18" l="1"/>
  <c r="G35" i="18"/>
  <c r="D36" i="18"/>
  <c r="F35" i="18"/>
  <c r="E45" i="2"/>
  <c r="B46" i="2"/>
  <c r="D45" i="2"/>
  <c r="A45" i="2"/>
  <c r="G45" i="2"/>
  <c r="H45" i="2"/>
  <c r="F45" i="2"/>
  <c r="C45" i="2"/>
  <c r="F35" i="11"/>
  <c r="G35" i="11"/>
  <c r="D36" i="11"/>
  <c r="E35" i="11"/>
  <c r="E46" i="2" l="1"/>
  <c r="B47" i="2"/>
  <c r="F46" i="2"/>
  <c r="C46" i="2"/>
  <c r="A46" i="2"/>
  <c r="D46" i="2"/>
  <c r="H46" i="2"/>
  <c r="G46" i="2"/>
  <c r="D37" i="18"/>
  <c r="G36" i="18"/>
  <c r="F36" i="18"/>
  <c r="E36" i="18"/>
  <c r="G36" i="11"/>
  <c r="E36" i="11"/>
  <c r="D37" i="11"/>
  <c r="F36" i="11"/>
  <c r="F37" i="11" l="1"/>
  <c r="E37" i="11"/>
  <c r="G37" i="11"/>
  <c r="D38" i="11"/>
  <c r="E47" i="2"/>
  <c r="B48" i="2"/>
  <c r="D47" i="2"/>
  <c r="F47" i="2"/>
  <c r="C47" i="2"/>
  <c r="H47" i="2"/>
  <c r="A47" i="2"/>
  <c r="G47" i="2"/>
  <c r="E37" i="18"/>
  <c r="G37" i="18"/>
  <c r="F37" i="18"/>
  <c r="D38" i="18"/>
  <c r="G38" i="11" l="1"/>
  <c r="D39" i="11"/>
  <c r="F38" i="11"/>
  <c r="E38" i="11"/>
  <c r="D39" i="18"/>
  <c r="G38" i="18"/>
  <c r="F38" i="18"/>
  <c r="E38" i="18"/>
  <c r="E48" i="2"/>
  <c r="H48" i="2"/>
  <c r="B49" i="2"/>
  <c r="D48" i="2"/>
  <c r="I57" i="2"/>
  <c r="G48" i="2"/>
  <c r="I55" i="2"/>
  <c r="F48" i="2"/>
  <c r="C48" i="2"/>
  <c r="I59" i="2"/>
  <c r="I58" i="2"/>
  <c r="A48" i="2"/>
  <c r="I56" i="2"/>
  <c r="E39" i="18" l="1"/>
  <c r="F39" i="18"/>
  <c r="G39" i="18"/>
  <c r="D40" i="18"/>
  <c r="A49" i="2"/>
  <c r="D49" i="2"/>
  <c r="C49" i="2"/>
  <c r="E49" i="2"/>
  <c r="B50" i="2"/>
  <c r="G49" i="2"/>
  <c r="F49" i="2"/>
  <c r="H49" i="2"/>
  <c r="F39" i="11"/>
  <c r="D40" i="11"/>
  <c r="E39" i="11"/>
  <c r="G39" i="11"/>
  <c r="G40" i="11" l="1"/>
  <c r="F40" i="11"/>
  <c r="E40" i="11"/>
  <c r="D41" i="11"/>
  <c r="D41" i="18"/>
  <c r="G40" i="18"/>
  <c r="F40" i="18"/>
  <c r="E40" i="18"/>
  <c r="H50" i="2"/>
  <c r="D50" i="2"/>
  <c r="B51" i="2"/>
  <c r="A50" i="2"/>
  <c r="G50" i="2"/>
  <c r="C50" i="2"/>
  <c r="E50" i="2"/>
  <c r="F50" i="2"/>
  <c r="E41" i="18" l="1"/>
  <c r="F41" i="18"/>
  <c r="G41" i="18"/>
  <c r="D42" i="18"/>
  <c r="A51" i="2"/>
  <c r="D51" i="2"/>
  <c r="C51" i="2"/>
  <c r="E51" i="2"/>
  <c r="B52" i="2"/>
  <c r="G51" i="2"/>
  <c r="F51" i="2"/>
  <c r="H51" i="2"/>
  <c r="D42" i="11"/>
  <c r="E41" i="11"/>
  <c r="F41" i="11"/>
  <c r="G41" i="11"/>
  <c r="G42" i="11" l="1"/>
  <c r="D43" i="11"/>
  <c r="F42" i="11"/>
  <c r="E42" i="11"/>
  <c r="D43" i="18"/>
  <c r="G42" i="18"/>
  <c r="F42" i="18"/>
  <c r="E42" i="18"/>
  <c r="H52" i="2"/>
  <c r="D52" i="2"/>
  <c r="G52" i="2"/>
  <c r="C52" i="2"/>
  <c r="A52" i="2"/>
  <c r="F52" i="2"/>
  <c r="E52" i="2"/>
  <c r="B53" i="2"/>
  <c r="A53" i="2" l="1"/>
  <c r="D53" i="2"/>
  <c r="C53" i="2"/>
  <c r="E53" i="2"/>
  <c r="B54" i="2"/>
  <c r="F53" i="2"/>
  <c r="G53" i="2"/>
  <c r="H53" i="2"/>
  <c r="D44" i="18"/>
  <c r="E43" i="18"/>
  <c r="G43" i="18"/>
  <c r="F43" i="18"/>
  <c r="E43" i="11"/>
  <c r="G43" i="11"/>
  <c r="F43" i="11"/>
  <c r="D44" i="11"/>
  <c r="G44" i="11" l="1"/>
  <c r="E44" i="11"/>
  <c r="F44" i="11"/>
  <c r="D45" i="11"/>
  <c r="D54" i="2"/>
  <c r="H54" i="2"/>
  <c r="G54" i="2"/>
  <c r="E54" i="2"/>
  <c r="F54" i="2"/>
  <c r="C54" i="2"/>
  <c r="B55" i="2"/>
  <c r="A54" i="2"/>
  <c r="D45" i="18"/>
  <c r="G44" i="18"/>
  <c r="F44" i="18"/>
  <c r="E44" i="18"/>
  <c r="E45" i="11" l="1"/>
  <c r="F45" i="11"/>
  <c r="D46" i="11"/>
  <c r="G45" i="11"/>
  <c r="D55" i="2"/>
  <c r="G55" i="2"/>
  <c r="F55" i="2"/>
  <c r="C55" i="2"/>
  <c r="E55" i="2"/>
  <c r="B56" i="2"/>
  <c r="H55" i="2"/>
  <c r="A55" i="2"/>
  <c r="G45" i="18"/>
  <c r="E45" i="18"/>
  <c r="F45" i="18"/>
  <c r="D46" i="18"/>
  <c r="F46" i="11" l="1"/>
  <c r="G46" i="11"/>
  <c r="E46" i="11"/>
  <c r="D47" i="11"/>
  <c r="D56" i="2"/>
  <c r="C56" i="2"/>
  <c r="E56" i="2"/>
  <c r="B57" i="2"/>
  <c r="G56" i="2"/>
  <c r="H56" i="2"/>
  <c r="F56" i="2"/>
  <c r="A56" i="2"/>
  <c r="D47" i="18"/>
  <c r="G46" i="18"/>
  <c r="F46" i="18"/>
  <c r="E46" i="18"/>
  <c r="D57" i="2" l="1"/>
  <c r="E57" i="2"/>
  <c r="B58" i="2"/>
  <c r="H57" i="2"/>
  <c r="G57" i="2"/>
  <c r="F57" i="2"/>
  <c r="A57" i="2"/>
  <c r="C57" i="2"/>
  <c r="E47" i="11"/>
  <c r="F47" i="11"/>
  <c r="D48" i="11"/>
  <c r="G47" i="11"/>
  <c r="E47" i="18"/>
  <c r="F47" i="18"/>
  <c r="D48" i="18"/>
  <c r="G47" i="18"/>
  <c r="F48" i="11" l="1"/>
  <c r="E48" i="11"/>
  <c r="D49" i="11"/>
  <c r="G48" i="11"/>
  <c r="D58" i="2"/>
  <c r="H58" i="2"/>
  <c r="G58" i="2"/>
  <c r="B59" i="2"/>
  <c r="F58" i="2"/>
  <c r="C58" i="2"/>
  <c r="A58" i="2"/>
  <c r="E58" i="2"/>
  <c r="E48" i="18"/>
  <c r="D49" i="18"/>
  <c r="G48" i="18"/>
  <c r="F48" i="18"/>
  <c r="D50" i="11" l="1"/>
  <c r="E49" i="11"/>
  <c r="G49" i="11"/>
  <c r="F49" i="11"/>
  <c r="D59" i="2"/>
  <c r="G59" i="2"/>
  <c r="F59" i="2"/>
  <c r="B60" i="2"/>
  <c r="H59" i="2"/>
  <c r="A59" i="2"/>
  <c r="E59" i="2"/>
  <c r="C59" i="2"/>
  <c r="D50" i="18"/>
  <c r="F49" i="18"/>
  <c r="G49" i="18"/>
  <c r="E49" i="18"/>
  <c r="E50" i="18" l="1"/>
  <c r="G50" i="18"/>
  <c r="D51" i="18"/>
  <c r="F50" i="18"/>
  <c r="D60" i="2"/>
  <c r="I67" i="2"/>
  <c r="F60" i="2"/>
  <c r="I68" i="2"/>
  <c r="C60" i="2"/>
  <c r="H60" i="2"/>
  <c r="E60" i="2"/>
  <c r="I70" i="2"/>
  <c r="B61" i="2"/>
  <c r="A60" i="2"/>
  <c r="G60" i="2"/>
  <c r="I69" i="2"/>
  <c r="I71" i="2"/>
  <c r="F50" i="11"/>
  <c r="E50" i="11"/>
  <c r="G50" i="11"/>
  <c r="D51" i="11"/>
  <c r="C61" i="2" l="1"/>
  <c r="D61" i="2"/>
  <c r="G61" i="2"/>
  <c r="F61" i="2"/>
  <c r="B62" i="2"/>
  <c r="E61" i="2"/>
  <c r="A61" i="2"/>
  <c r="H61" i="2"/>
  <c r="G51" i="18"/>
  <c r="E51" i="18"/>
  <c r="D52" i="18"/>
  <c r="F51" i="18"/>
  <c r="G51" i="11"/>
  <c r="D52" i="11"/>
  <c r="E51" i="11"/>
  <c r="F51" i="11"/>
  <c r="E52" i="18" l="1"/>
  <c r="D53" i="18"/>
  <c r="G52" i="18"/>
  <c r="F52" i="18"/>
  <c r="H3" i="11"/>
  <c r="E52" i="11"/>
  <c r="F52" i="11"/>
  <c r="G52" i="11"/>
  <c r="C62" i="2"/>
  <c r="F62" i="2"/>
  <c r="E62" i="2"/>
  <c r="B63" i="2"/>
  <c r="G62" i="2"/>
  <c r="A62" i="2"/>
  <c r="H62" i="2"/>
  <c r="D62" i="2"/>
  <c r="I3" i="11" l="1"/>
  <c r="K3" i="11"/>
  <c r="J3" i="11"/>
  <c r="H4" i="11"/>
  <c r="H3" i="18"/>
  <c r="G53" i="18"/>
  <c r="E53" i="18"/>
  <c r="F53" i="18"/>
  <c r="C63" i="2"/>
  <c r="B64" i="2"/>
  <c r="H63" i="2"/>
  <c r="A63" i="2"/>
  <c r="G63" i="2"/>
  <c r="D63" i="2"/>
  <c r="E63" i="2"/>
  <c r="F63" i="2"/>
  <c r="J4" i="11" l="1"/>
  <c r="H5" i="11"/>
  <c r="K4" i="11"/>
  <c r="I4" i="11"/>
  <c r="C64" i="2"/>
  <c r="H64" i="2"/>
  <c r="D64" i="2"/>
  <c r="A64" i="2"/>
  <c r="G64" i="2"/>
  <c r="F64" i="2"/>
  <c r="E64" i="2"/>
  <c r="B65" i="2"/>
  <c r="I3" i="18"/>
  <c r="J3" i="18"/>
  <c r="H4" i="18"/>
  <c r="K3" i="18"/>
  <c r="K4" i="18" l="1"/>
  <c r="J4" i="18"/>
  <c r="I4" i="18"/>
  <c r="H5" i="18"/>
  <c r="J5" i="11"/>
  <c r="K5" i="11"/>
  <c r="I5" i="11"/>
  <c r="H6" i="11"/>
  <c r="C65" i="2"/>
  <c r="D65" i="2"/>
  <c r="G65" i="2"/>
  <c r="H65" i="2"/>
  <c r="E65" i="2"/>
  <c r="B66" i="2"/>
  <c r="F65" i="2"/>
  <c r="A65" i="2"/>
  <c r="C66" i="2" l="1"/>
  <c r="F66" i="2"/>
  <c r="E66" i="2"/>
  <c r="B67" i="2"/>
  <c r="A66" i="2"/>
  <c r="D66" i="2"/>
  <c r="H66" i="2"/>
  <c r="G66" i="2"/>
  <c r="J6" i="11"/>
  <c r="I6" i="11"/>
  <c r="H7" i="11"/>
  <c r="K6" i="11"/>
  <c r="I5" i="18"/>
  <c r="H6" i="18"/>
  <c r="K5" i="18"/>
  <c r="J5" i="18"/>
  <c r="I7" i="11" l="1"/>
  <c r="K7" i="11"/>
  <c r="J7" i="11"/>
  <c r="H8" i="11"/>
  <c r="A67" i="2"/>
  <c r="D67" i="2"/>
  <c r="G67" i="2"/>
  <c r="F67" i="2"/>
  <c r="H67" i="2"/>
  <c r="B68" i="2"/>
  <c r="C67" i="2"/>
  <c r="E67" i="2"/>
  <c r="H7" i="18"/>
  <c r="I6" i="18"/>
  <c r="J6" i="18"/>
  <c r="K6" i="18"/>
  <c r="C68" i="2" l="1"/>
  <c r="H68" i="2"/>
  <c r="D68" i="2"/>
  <c r="F68" i="2"/>
  <c r="B69" i="2"/>
  <c r="A68" i="2"/>
  <c r="E68" i="2"/>
  <c r="G68" i="2"/>
  <c r="J8" i="11"/>
  <c r="I8" i="11"/>
  <c r="H9" i="11"/>
  <c r="K8" i="11"/>
  <c r="I7" i="18"/>
  <c r="H8" i="18"/>
  <c r="J7" i="18"/>
  <c r="K7" i="18"/>
  <c r="K8" i="18" l="1"/>
  <c r="I8" i="18"/>
  <c r="H9" i="18"/>
  <c r="J8" i="18"/>
  <c r="C69" i="2"/>
  <c r="D69" i="2"/>
  <c r="G69" i="2"/>
  <c r="F69" i="2"/>
  <c r="A69" i="2"/>
  <c r="E69" i="2"/>
  <c r="H69" i="2"/>
  <c r="B70" i="2"/>
  <c r="K9" i="11"/>
  <c r="H10" i="11"/>
  <c r="I9" i="11"/>
  <c r="J9" i="11"/>
  <c r="H10" i="18" l="1"/>
  <c r="J9" i="18"/>
  <c r="I9" i="18"/>
  <c r="K9" i="18"/>
  <c r="J10" i="11"/>
  <c r="H11" i="11"/>
  <c r="I10" i="11"/>
  <c r="K10" i="11"/>
  <c r="C70" i="2"/>
  <c r="F70" i="2"/>
  <c r="B71" i="2"/>
  <c r="E70" i="2"/>
  <c r="H70" i="2"/>
  <c r="D70" i="2"/>
  <c r="G70" i="2"/>
  <c r="A70" i="2"/>
  <c r="K11" i="11" l="1"/>
  <c r="H12" i="11"/>
  <c r="J11" i="11"/>
  <c r="I11" i="11"/>
  <c r="E71" i="2"/>
  <c r="C71" i="2"/>
  <c r="B72" i="2"/>
  <c r="H71" i="2"/>
  <c r="A71" i="2"/>
  <c r="F71" i="2"/>
  <c r="D71" i="2"/>
  <c r="G71" i="2"/>
  <c r="K10" i="18"/>
  <c r="J10" i="18"/>
  <c r="I10" i="18"/>
  <c r="H11" i="18"/>
  <c r="C72" i="2" l="1"/>
  <c r="I79" i="2"/>
  <c r="I80" i="2"/>
  <c r="A72" i="2"/>
  <c r="I83" i="2"/>
  <c r="F72" i="2"/>
  <c r="D72" i="2"/>
  <c r="G72" i="2"/>
  <c r="B73" i="2"/>
  <c r="E72" i="2"/>
  <c r="I81" i="2"/>
  <c r="H72" i="2"/>
  <c r="I82" i="2"/>
  <c r="H12" i="18"/>
  <c r="K11" i="18"/>
  <c r="J11" i="18"/>
  <c r="I11" i="18"/>
  <c r="I12" i="11"/>
  <c r="H13" i="11"/>
  <c r="J12" i="11"/>
  <c r="K12" i="11"/>
  <c r="K13" i="11" l="1"/>
  <c r="H14" i="11"/>
  <c r="I13" i="11"/>
  <c r="J13" i="11"/>
  <c r="K12" i="18"/>
  <c r="H13" i="18"/>
  <c r="J12" i="18"/>
  <c r="I12" i="18"/>
  <c r="H73" i="2"/>
  <c r="E73" i="2"/>
  <c r="C73" i="2"/>
  <c r="G73" i="2"/>
  <c r="F73" i="2"/>
  <c r="B74" i="2"/>
  <c r="D73" i="2"/>
  <c r="A73" i="2"/>
  <c r="A74" i="2" l="1"/>
  <c r="H74" i="2"/>
  <c r="F74" i="2"/>
  <c r="E74" i="2"/>
  <c r="D74" i="2"/>
  <c r="G74" i="2"/>
  <c r="C74" i="2"/>
  <c r="B75" i="2"/>
  <c r="J13" i="18"/>
  <c r="I13" i="18"/>
  <c r="H14" i="18"/>
  <c r="K13" i="18"/>
  <c r="I14" i="11"/>
  <c r="J14" i="11"/>
  <c r="H15" i="11"/>
  <c r="K14" i="11"/>
  <c r="K15" i="11" l="1"/>
  <c r="J15" i="11"/>
  <c r="H16" i="11"/>
  <c r="I15" i="11"/>
  <c r="K14" i="18"/>
  <c r="J14" i="18"/>
  <c r="I14" i="18"/>
  <c r="H15" i="18"/>
  <c r="H75" i="2"/>
  <c r="D75" i="2"/>
  <c r="G75" i="2"/>
  <c r="B76" i="2"/>
  <c r="E75" i="2"/>
  <c r="C75" i="2"/>
  <c r="F75" i="2"/>
  <c r="A75" i="2"/>
  <c r="I16" i="11" l="1"/>
  <c r="H17" i="11"/>
  <c r="J16" i="11"/>
  <c r="K16" i="11"/>
  <c r="A76" i="2"/>
  <c r="F76" i="2"/>
  <c r="C76" i="2"/>
  <c r="D76" i="2"/>
  <c r="H76" i="2"/>
  <c r="G76" i="2"/>
  <c r="E76" i="2"/>
  <c r="B77" i="2"/>
  <c r="H16" i="18"/>
  <c r="K15" i="18"/>
  <c r="J15" i="18"/>
  <c r="I15" i="18"/>
  <c r="K16" i="18" l="1"/>
  <c r="J16" i="18"/>
  <c r="H17" i="18"/>
  <c r="I16" i="18"/>
  <c r="H77" i="2"/>
  <c r="E77" i="2"/>
  <c r="C77" i="2"/>
  <c r="B78" i="2"/>
  <c r="F77" i="2"/>
  <c r="A77" i="2"/>
  <c r="D77" i="2"/>
  <c r="G77" i="2"/>
  <c r="K17" i="11"/>
  <c r="H18" i="11"/>
  <c r="I17" i="11"/>
  <c r="J17" i="11"/>
  <c r="H18" i="18" l="1"/>
  <c r="I17" i="18"/>
  <c r="K17" i="18"/>
  <c r="J17" i="18"/>
  <c r="A78" i="2"/>
  <c r="H78" i="2"/>
  <c r="B79" i="2"/>
  <c r="D78" i="2"/>
  <c r="G78" i="2"/>
  <c r="F78" i="2"/>
  <c r="C78" i="2"/>
  <c r="E78" i="2"/>
  <c r="J18" i="11"/>
  <c r="K18" i="11"/>
  <c r="H19" i="11"/>
  <c r="I18" i="11"/>
  <c r="H20" i="11" l="1"/>
  <c r="I19" i="11"/>
  <c r="K19" i="11"/>
  <c r="J19" i="11"/>
  <c r="H79" i="2"/>
  <c r="D79" i="2"/>
  <c r="E79" i="2"/>
  <c r="C79" i="2"/>
  <c r="B80" i="2"/>
  <c r="G79" i="2"/>
  <c r="F79" i="2"/>
  <c r="A79" i="2"/>
  <c r="K18" i="18"/>
  <c r="J18" i="18"/>
  <c r="I18" i="18"/>
  <c r="H19" i="18"/>
  <c r="H20" i="18" l="1"/>
  <c r="K19" i="18"/>
  <c r="I19" i="18"/>
  <c r="J19" i="18"/>
  <c r="A80" i="2"/>
  <c r="F80" i="2"/>
  <c r="C80" i="2"/>
  <c r="B81" i="2"/>
  <c r="D80" i="2"/>
  <c r="G80" i="2"/>
  <c r="H80" i="2"/>
  <c r="E80" i="2"/>
  <c r="K20" i="11"/>
  <c r="I20" i="11"/>
  <c r="H21" i="11"/>
  <c r="J20" i="11"/>
  <c r="H81" i="2" l="1"/>
  <c r="E81" i="2"/>
  <c r="C81" i="2"/>
  <c r="G81" i="2"/>
  <c r="B82" i="2"/>
  <c r="A81" i="2"/>
  <c r="D81" i="2"/>
  <c r="F81" i="2"/>
  <c r="H22" i="11"/>
  <c r="J21" i="11"/>
  <c r="I21" i="11"/>
  <c r="K21" i="11"/>
  <c r="K20" i="18"/>
  <c r="H21" i="18"/>
  <c r="J20" i="18"/>
  <c r="I20" i="18"/>
  <c r="A82" i="2" l="1"/>
  <c r="H82" i="2"/>
  <c r="F82" i="2"/>
  <c r="D82" i="2"/>
  <c r="C82" i="2"/>
  <c r="B83" i="2"/>
  <c r="E82" i="2"/>
  <c r="G82" i="2"/>
  <c r="I21" i="18"/>
  <c r="K21" i="18"/>
  <c r="H22" i="18"/>
  <c r="J21" i="18"/>
  <c r="J22" i="11"/>
  <c r="K22" i="11"/>
  <c r="I22" i="11"/>
  <c r="H23" i="11"/>
  <c r="H83" i="2" l="1"/>
  <c r="D83" i="2"/>
  <c r="B84" i="2"/>
  <c r="G83" i="2"/>
  <c r="C83" i="2"/>
  <c r="A83" i="2"/>
  <c r="F83" i="2"/>
  <c r="E83" i="2"/>
  <c r="H23" i="18"/>
  <c r="J22" i="18"/>
  <c r="K22" i="18"/>
  <c r="I22" i="18"/>
  <c r="H24" i="11"/>
  <c r="I23" i="11"/>
  <c r="K23" i="11"/>
  <c r="J23" i="11"/>
  <c r="J24" i="11" l="1"/>
  <c r="K24" i="11"/>
  <c r="H25" i="11"/>
  <c r="I24" i="11"/>
  <c r="D84" i="2"/>
  <c r="I91" i="2"/>
  <c r="G84" i="2"/>
  <c r="A84" i="2"/>
  <c r="B85" i="2"/>
  <c r="I94" i="2"/>
  <c r="I92" i="2"/>
  <c r="H84" i="2"/>
  <c r="F84" i="2"/>
  <c r="E84" i="2"/>
  <c r="C84" i="2"/>
  <c r="I95" i="2"/>
  <c r="I93" i="2"/>
  <c r="I23" i="18"/>
  <c r="K23" i="18"/>
  <c r="H24" i="18"/>
  <c r="J23" i="18"/>
  <c r="H26" i="11" l="1"/>
  <c r="K25" i="11"/>
  <c r="J25" i="11"/>
  <c r="I25" i="11"/>
  <c r="H25" i="18"/>
  <c r="J24" i="18"/>
  <c r="K24" i="18"/>
  <c r="I24" i="18"/>
  <c r="E85" i="2"/>
  <c r="C85" i="2"/>
  <c r="B86" i="2"/>
  <c r="F85" i="2"/>
  <c r="H85" i="2"/>
  <c r="G85" i="2"/>
  <c r="A85" i="2"/>
  <c r="D85" i="2"/>
  <c r="C86" i="2" l="1"/>
  <c r="B87" i="2"/>
  <c r="H86" i="2"/>
  <c r="E86" i="2"/>
  <c r="A86" i="2"/>
  <c r="G86" i="2"/>
  <c r="F86" i="2"/>
  <c r="D86" i="2"/>
  <c r="I25" i="18"/>
  <c r="K25" i="18"/>
  <c r="H26" i="18"/>
  <c r="J25" i="18"/>
  <c r="J26" i="11"/>
  <c r="K26" i="11"/>
  <c r="I26" i="11"/>
  <c r="H27" i="11"/>
  <c r="H28" i="11" l="1"/>
  <c r="J27" i="11"/>
  <c r="I27" i="11"/>
  <c r="K27" i="11"/>
  <c r="E87" i="2"/>
  <c r="C87" i="2"/>
  <c r="B88" i="2"/>
  <c r="D87" i="2"/>
  <c r="F87" i="2"/>
  <c r="H87" i="2"/>
  <c r="A87" i="2"/>
  <c r="G87" i="2"/>
  <c r="H27" i="18"/>
  <c r="J26" i="18"/>
  <c r="I26" i="18"/>
  <c r="K26" i="18"/>
  <c r="C88" i="2" l="1"/>
  <c r="B89" i="2"/>
  <c r="H88" i="2"/>
  <c r="D88" i="2"/>
  <c r="G88" i="2"/>
  <c r="A88" i="2"/>
  <c r="F88" i="2"/>
  <c r="E88" i="2"/>
  <c r="I27" i="18"/>
  <c r="K27" i="18"/>
  <c r="H28" i="18"/>
  <c r="J27" i="18"/>
  <c r="J28" i="11"/>
  <c r="K28" i="11"/>
  <c r="I28" i="11"/>
  <c r="H29" i="11"/>
  <c r="H30" i="11" l="1"/>
  <c r="I29" i="11"/>
  <c r="K29" i="11"/>
  <c r="J29" i="11"/>
  <c r="H29" i="18"/>
  <c r="I28" i="18"/>
  <c r="K28" i="18"/>
  <c r="J28" i="18"/>
  <c r="E89" i="2"/>
  <c r="C89" i="2"/>
  <c r="B90" i="2"/>
  <c r="D89" i="2"/>
  <c r="G89" i="2"/>
  <c r="H89" i="2"/>
  <c r="F89" i="2"/>
  <c r="A89" i="2"/>
  <c r="C90" i="2" l="1"/>
  <c r="B91" i="2"/>
  <c r="H90" i="2"/>
  <c r="E90" i="2"/>
  <c r="A90" i="2"/>
  <c r="D90" i="2"/>
  <c r="G90" i="2"/>
  <c r="F90" i="2"/>
  <c r="I29" i="18"/>
  <c r="H30" i="18"/>
  <c r="K29" i="18"/>
  <c r="J29" i="18"/>
  <c r="J30" i="11"/>
  <c r="K30" i="11"/>
  <c r="I30" i="11"/>
  <c r="H31" i="11"/>
  <c r="J31" i="11" l="1"/>
  <c r="I31" i="11"/>
  <c r="K31" i="11"/>
  <c r="H32" i="11"/>
  <c r="J30" i="18"/>
  <c r="K30" i="18"/>
  <c r="H31" i="18"/>
  <c r="I30" i="18"/>
  <c r="E91" i="2"/>
  <c r="C91" i="2"/>
  <c r="B92" i="2"/>
  <c r="H91" i="2"/>
  <c r="A91" i="2"/>
  <c r="D91" i="2"/>
  <c r="F91" i="2"/>
  <c r="G91" i="2"/>
  <c r="I31" i="18" l="1"/>
  <c r="H32" i="18"/>
  <c r="K31" i="18"/>
  <c r="J31" i="18"/>
  <c r="C92" i="2"/>
  <c r="B93" i="2"/>
  <c r="G92" i="2"/>
  <c r="F92" i="2"/>
  <c r="D92" i="2"/>
  <c r="A92" i="2"/>
  <c r="E92" i="2"/>
  <c r="H92" i="2"/>
  <c r="J32" i="11"/>
  <c r="H33" i="11"/>
  <c r="I32" i="11"/>
  <c r="K32" i="11"/>
  <c r="K33" i="11" l="1"/>
  <c r="H34" i="11"/>
  <c r="I33" i="11"/>
  <c r="J33" i="11"/>
  <c r="E93" i="2"/>
  <c r="C93" i="2"/>
  <c r="G93" i="2"/>
  <c r="H93" i="2"/>
  <c r="A93" i="2"/>
  <c r="D93" i="2"/>
  <c r="F93" i="2"/>
  <c r="B94" i="2"/>
  <c r="H33" i="18"/>
  <c r="J32" i="18"/>
  <c r="K32" i="18"/>
  <c r="I32" i="18"/>
  <c r="K33" i="18" l="1"/>
  <c r="J33" i="18"/>
  <c r="I33" i="18"/>
  <c r="H34" i="18"/>
  <c r="C94" i="2"/>
  <c r="B95" i="2"/>
  <c r="H94" i="2"/>
  <c r="G94" i="2"/>
  <c r="F94" i="2"/>
  <c r="E94" i="2"/>
  <c r="A94" i="2"/>
  <c r="D94" i="2"/>
  <c r="H35" i="11"/>
  <c r="K34" i="11"/>
  <c r="J34" i="11"/>
  <c r="I34" i="11"/>
  <c r="K35" i="11" l="1"/>
  <c r="I35" i="11"/>
  <c r="H36" i="11"/>
  <c r="J35" i="11"/>
  <c r="K34" i="18"/>
  <c r="I34" i="18"/>
  <c r="H35" i="18"/>
  <c r="J34" i="18"/>
  <c r="E95" i="2"/>
  <c r="G95" i="2"/>
  <c r="D95" i="2"/>
  <c r="C95" i="2"/>
  <c r="B96" i="2"/>
  <c r="H95" i="2"/>
  <c r="A95" i="2"/>
  <c r="F95" i="2"/>
  <c r="I35" i="18" l="1"/>
  <c r="H36" i="18"/>
  <c r="J35" i="18"/>
  <c r="K35" i="18"/>
  <c r="C96" i="2"/>
  <c r="I103" i="2"/>
  <c r="B97" i="2"/>
  <c r="E96" i="2"/>
  <c r="I106" i="2"/>
  <c r="I107" i="2"/>
  <c r="I105" i="2"/>
  <c r="D96" i="2"/>
  <c r="A96" i="2"/>
  <c r="H96" i="2"/>
  <c r="G96" i="2"/>
  <c r="F96" i="2"/>
  <c r="I104" i="2"/>
  <c r="J36" i="11"/>
  <c r="K36" i="11"/>
  <c r="H37" i="11"/>
  <c r="I36" i="11"/>
  <c r="K37" i="11" l="1"/>
  <c r="H38" i="11"/>
  <c r="I37" i="11"/>
  <c r="J37" i="11"/>
  <c r="K36" i="18"/>
  <c r="J36" i="18"/>
  <c r="I36" i="18"/>
  <c r="H37" i="18"/>
  <c r="H97" i="2"/>
  <c r="D97" i="2"/>
  <c r="F97" i="2"/>
  <c r="E97" i="2"/>
  <c r="G97" i="2"/>
  <c r="C97" i="2"/>
  <c r="A97" i="2"/>
  <c r="B98" i="2"/>
  <c r="H38" i="18" l="1"/>
  <c r="K37" i="18"/>
  <c r="J37" i="18"/>
  <c r="I37" i="18"/>
  <c r="I38" i="11"/>
  <c r="H39" i="11"/>
  <c r="K38" i="11"/>
  <c r="J38" i="11"/>
  <c r="A98" i="2"/>
  <c r="C98" i="2"/>
  <c r="D98" i="2"/>
  <c r="G98" i="2"/>
  <c r="F98" i="2"/>
  <c r="E98" i="2"/>
  <c r="B99" i="2"/>
  <c r="H98" i="2"/>
  <c r="K39" i="11" l="1"/>
  <c r="H40" i="11"/>
  <c r="I39" i="11"/>
  <c r="J39" i="11"/>
  <c r="H99" i="2"/>
  <c r="C99" i="2"/>
  <c r="G99" i="2"/>
  <c r="F99" i="2"/>
  <c r="A99" i="2"/>
  <c r="D99" i="2"/>
  <c r="E99" i="2"/>
  <c r="B100" i="2"/>
  <c r="K38" i="18"/>
  <c r="H39" i="18"/>
  <c r="J38" i="18"/>
  <c r="I38" i="18"/>
  <c r="K39" i="18" l="1"/>
  <c r="H40" i="18"/>
  <c r="J39" i="18"/>
  <c r="I39" i="18"/>
  <c r="I40" i="11"/>
  <c r="H41" i="11"/>
  <c r="K40" i="11"/>
  <c r="J40" i="11"/>
  <c r="A100" i="2"/>
  <c r="H100" i="2"/>
  <c r="G100" i="2"/>
  <c r="B101" i="2"/>
  <c r="E100" i="2"/>
  <c r="D100" i="2"/>
  <c r="F100" i="2"/>
  <c r="C100" i="2"/>
  <c r="K41" i="11" l="1"/>
  <c r="I41" i="11"/>
  <c r="H42" i="11"/>
  <c r="J41" i="11"/>
  <c r="K40" i="18"/>
  <c r="J40" i="18"/>
  <c r="I40" i="18"/>
  <c r="H41" i="18"/>
  <c r="H101" i="2"/>
  <c r="D101" i="2"/>
  <c r="G101" i="2"/>
  <c r="F101" i="2"/>
  <c r="C101" i="2"/>
  <c r="E101" i="2"/>
  <c r="B102" i="2"/>
  <c r="A101" i="2"/>
  <c r="A102" i="2" l="1"/>
  <c r="F102" i="2"/>
  <c r="C102" i="2"/>
  <c r="D102" i="2"/>
  <c r="G102" i="2"/>
  <c r="E102" i="2"/>
  <c r="B103" i="2"/>
  <c r="H102" i="2"/>
  <c r="I42" i="11"/>
  <c r="H43" i="11"/>
  <c r="K42" i="11"/>
  <c r="J42" i="11"/>
  <c r="H42" i="18"/>
  <c r="J41" i="18"/>
  <c r="K41" i="18"/>
  <c r="I41" i="18"/>
  <c r="H103" i="2" l="1"/>
  <c r="E103" i="2"/>
  <c r="C103" i="2"/>
  <c r="B104" i="2"/>
  <c r="A103" i="2"/>
  <c r="F103" i="2"/>
  <c r="D103" i="2"/>
  <c r="G103" i="2"/>
  <c r="K43" i="11"/>
  <c r="H44" i="11"/>
  <c r="I43" i="11"/>
  <c r="J43" i="11"/>
  <c r="K42" i="18"/>
  <c r="J42" i="18"/>
  <c r="I42" i="18"/>
  <c r="H43" i="18"/>
  <c r="K44" i="11" l="1"/>
  <c r="H45" i="11"/>
  <c r="J44" i="11"/>
  <c r="I44" i="11"/>
  <c r="I43" i="18"/>
  <c r="J43" i="18"/>
  <c r="H44" i="18"/>
  <c r="K43" i="18"/>
  <c r="A104" i="2"/>
  <c r="H104" i="2"/>
  <c r="B105" i="2"/>
  <c r="E104" i="2"/>
  <c r="G104" i="2"/>
  <c r="F104" i="2"/>
  <c r="C104" i="2"/>
  <c r="D104" i="2"/>
  <c r="K44" i="18" l="1"/>
  <c r="J44" i="18"/>
  <c r="I44" i="18"/>
  <c r="H45" i="18"/>
  <c r="H105" i="2"/>
  <c r="D105" i="2"/>
  <c r="G105" i="2"/>
  <c r="F105" i="2"/>
  <c r="E105" i="2"/>
  <c r="B106" i="2"/>
  <c r="C105" i="2"/>
  <c r="A105" i="2"/>
  <c r="H46" i="11"/>
  <c r="I45" i="11"/>
  <c r="K45" i="11"/>
  <c r="J45" i="11"/>
  <c r="K45" i="18" l="1"/>
  <c r="J45" i="18"/>
  <c r="I45" i="18"/>
  <c r="H46" i="18"/>
  <c r="A106" i="2"/>
  <c r="F106" i="2"/>
  <c r="C106" i="2"/>
  <c r="G106" i="2"/>
  <c r="H106" i="2"/>
  <c r="D106" i="2"/>
  <c r="B107" i="2"/>
  <c r="E106" i="2"/>
  <c r="I46" i="11"/>
  <c r="H47" i="11"/>
  <c r="K46" i="11"/>
  <c r="J46" i="11"/>
  <c r="H107" i="2" l="1"/>
  <c r="E107" i="2"/>
  <c r="C107" i="2"/>
  <c r="G107" i="2"/>
  <c r="F107" i="2"/>
  <c r="A107" i="2"/>
  <c r="D107" i="2"/>
  <c r="B108" i="2"/>
  <c r="H48" i="11"/>
  <c r="I47" i="11"/>
  <c r="K47" i="11"/>
  <c r="J47" i="11"/>
  <c r="J46" i="18"/>
  <c r="K46" i="18"/>
  <c r="H47" i="18"/>
  <c r="I46" i="18"/>
  <c r="K47" i="18" l="1"/>
  <c r="H48" i="18"/>
  <c r="I47" i="18"/>
  <c r="J47" i="18"/>
  <c r="I119" i="2"/>
  <c r="I117" i="2"/>
  <c r="I115" i="2"/>
  <c r="F108" i="2"/>
  <c r="C108" i="2"/>
  <c r="E108" i="2"/>
  <c r="H108" i="2"/>
  <c r="D108" i="2"/>
  <c r="G108" i="2"/>
  <c r="B109" i="2"/>
  <c r="A108" i="2"/>
  <c r="I118" i="2"/>
  <c r="I116" i="2"/>
  <c r="I48" i="11"/>
  <c r="K48" i="11"/>
  <c r="H49" i="11"/>
  <c r="J48" i="11"/>
  <c r="G109" i="2" l="1"/>
  <c r="E109" i="2"/>
  <c r="C109" i="2"/>
  <c r="D109" i="2"/>
  <c r="F109" i="2"/>
  <c r="H109" i="2"/>
  <c r="B110" i="2"/>
  <c r="A109" i="2"/>
  <c r="H49" i="18"/>
  <c r="K48" i="18"/>
  <c r="J48" i="18"/>
  <c r="I48" i="18"/>
  <c r="H50" i="11"/>
  <c r="I49" i="11"/>
  <c r="J49" i="11"/>
  <c r="K49" i="11"/>
  <c r="G110" i="2" l="1"/>
  <c r="A110" i="2"/>
  <c r="H110" i="2"/>
  <c r="F110" i="2"/>
  <c r="C110" i="2"/>
  <c r="E110" i="2"/>
  <c r="D110" i="2"/>
  <c r="B111" i="2"/>
  <c r="I50" i="11"/>
  <c r="K50" i="11"/>
  <c r="H51" i="11"/>
  <c r="J50" i="11"/>
  <c r="K49" i="18"/>
  <c r="J49" i="18"/>
  <c r="I49" i="18"/>
  <c r="H50" i="18"/>
  <c r="K51" i="11" l="1"/>
  <c r="J51" i="11"/>
  <c r="H52" i="11"/>
  <c r="I51" i="11"/>
  <c r="J50" i="18"/>
  <c r="K50" i="18"/>
  <c r="I50" i="18"/>
  <c r="H51" i="18"/>
  <c r="G111" i="2"/>
  <c r="A111" i="2"/>
  <c r="B112" i="2"/>
  <c r="H111" i="2"/>
  <c r="C111" i="2"/>
  <c r="E111" i="2"/>
  <c r="F111" i="2"/>
  <c r="D111" i="2"/>
  <c r="G112" i="2" l="1"/>
  <c r="F112" i="2"/>
  <c r="C112" i="2"/>
  <c r="A112" i="2"/>
  <c r="H112" i="2"/>
  <c r="B113" i="2"/>
  <c r="E112" i="2"/>
  <c r="D112" i="2"/>
  <c r="I52" i="11"/>
  <c r="K52" i="11"/>
  <c r="J52" i="11"/>
  <c r="K51" i="18"/>
  <c r="H52" i="18"/>
  <c r="J51" i="18"/>
  <c r="I51" i="18"/>
  <c r="J52" i="18" l="1"/>
  <c r="I52" i="18"/>
  <c r="H53" i="18"/>
  <c r="K52" i="18"/>
  <c r="G113" i="2"/>
  <c r="E113" i="2"/>
  <c r="C113" i="2"/>
  <c r="F113" i="2"/>
  <c r="D113" i="2"/>
  <c r="A113" i="2"/>
  <c r="B114" i="2"/>
  <c r="H113" i="2"/>
  <c r="J53" i="18" l="1"/>
  <c r="I53" i="18"/>
  <c r="L3" i="18"/>
  <c r="K53" i="18"/>
  <c r="G114" i="2"/>
  <c r="A114" i="2"/>
  <c r="H114" i="2"/>
  <c r="D114" i="2"/>
  <c r="C114" i="2"/>
  <c r="F114" i="2"/>
  <c r="E114" i="2"/>
  <c r="B115" i="2"/>
  <c r="G115" i="2" l="1"/>
  <c r="A115" i="2"/>
  <c r="E115" i="2"/>
  <c r="C115" i="2"/>
  <c r="H115" i="2"/>
  <c r="F115" i="2"/>
  <c r="B116" i="2"/>
  <c r="D115" i="2"/>
  <c r="N3" i="18"/>
  <c r="M3" i="18"/>
  <c r="L4" i="18"/>
  <c r="O3" i="18"/>
  <c r="N4" i="18" l="1"/>
  <c r="O4" i="18"/>
  <c r="M4" i="18"/>
  <c r="L5" i="18"/>
  <c r="F116" i="2"/>
  <c r="C116" i="2"/>
  <c r="B117" i="2"/>
  <c r="E116" i="2"/>
  <c r="A116" i="2"/>
  <c r="D116" i="2"/>
  <c r="G116" i="2"/>
  <c r="H116" i="2"/>
  <c r="H117" i="2" l="1"/>
  <c r="D117" i="2"/>
  <c r="G117" i="2"/>
  <c r="C117" i="2"/>
  <c r="B118" i="2"/>
  <c r="E117" i="2"/>
  <c r="A117" i="2"/>
  <c r="F117" i="2"/>
  <c r="N5" i="18"/>
  <c r="L6" i="18"/>
  <c r="O5" i="18"/>
  <c r="M5" i="18"/>
  <c r="A118" i="2" l="1"/>
  <c r="G118" i="2"/>
  <c r="F118" i="2"/>
  <c r="D118" i="2"/>
  <c r="C118" i="2"/>
  <c r="B119" i="2"/>
  <c r="E118" i="2"/>
  <c r="H118" i="2"/>
  <c r="L7" i="18"/>
  <c r="O6" i="18"/>
  <c r="N6" i="18"/>
  <c r="M6" i="18"/>
  <c r="N7" i="18" l="1"/>
  <c r="M7" i="18"/>
  <c r="L8" i="18"/>
  <c r="O7" i="18"/>
  <c r="H119" i="2"/>
  <c r="E119" i="2"/>
  <c r="C119" i="2"/>
  <c r="B120" i="2"/>
  <c r="A119" i="2"/>
  <c r="D119" i="2"/>
  <c r="F119" i="2"/>
  <c r="G119" i="2"/>
  <c r="I130" i="2" l="1"/>
  <c r="G120" i="2"/>
  <c r="F120" i="2"/>
  <c r="I131" i="2"/>
  <c r="I129" i="2"/>
  <c r="D120" i="2"/>
  <c r="I128" i="2"/>
  <c r="A120" i="2"/>
  <c r="C120" i="2"/>
  <c r="E120" i="2"/>
  <c r="B121" i="2"/>
  <c r="I127" i="2"/>
  <c r="H120" i="2"/>
  <c r="O8" i="18"/>
  <c r="N8" i="18"/>
  <c r="L9" i="18"/>
  <c r="M8" i="18"/>
  <c r="F121" i="2" l="1"/>
  <c r="H121" i="2"/>
  <c r="A121" i="2"/>
  <c r="D121" i="2"/>
  <c r="G121" i="2"/>
  <c r="B122" i="2"/>
  <c r="E121" i="2"/>
  <c r="C121" i="2"/>
  <c r="N9" i="18"/>
  <c r="L10" i="18"/>
  <c r="O9" i="18"/>
  <c r="M9" i="18"/>
  <c r="F122" i="2" l="1"/>
  <c r="C122" i="2"/>
  <c r="E122" i="2"/>
  <c r="B123" i="2"/>
  <c r="G122" i="2"/>
  <c r="A122" i="2"/>
  <c r="H122" i="2"/>
  <c r="D122" i="2"/>
  <c r="L11" i="18"/>
  <c r="O10" i="18"/>
  <c r="N10" i="18"/>
  <c r="M10" i="18"/>
  <c r="F123" i="2" l="1"/>
  <c r="C123" i="2"/>
  <c r="E123" i="2"/>
  <c r="G123" i="2"/>
  <c r="H123" i="2"/>
  <c r="A123" i="2"/>
  <c r="D123" i="2"/>
  <c r="B124" i="2"/>
  <c r="N11" i="18"/>
  <c r="L12" i="18"/>
  <c r="O11" i="18"/>
  <c r="M11" i="18"/>
  <c r="F124" i="2" l="1"/>
  <c r="B125" i="2"/>
  <c r="D124" i="2"/>
  <c r="C124" i="2"/>
  <c r="E124" i="2"/>
  <c r="G124" i="2"/>
  <c r="A124" i="2"/>
  <c r="H124" i="2"/>
  <c r="L13" i="18"/>
  <c r="N12" i="18"/>
  <c r="M12" i="18"/>
  <c r="O12" i="18"/>
  <c r="F125" i="2" l="1"/>
  <c r="D125" i="2"/>
  <c r="G125" i="2"/>
  <c r="H125" i="2"/>
  <c r="A125" i="2"/>
  <c r="B126" i="2"/>
  <c r="C125" i="2"/>
  <c r="E125" i="2"/>
  <c r="N13" i="18"/>
  <c r="L14" i="18"/>
  <c r="O13" i="18"/>
  <c r="M13" i="18"/>
  <c r="F126" i="2" l="1"/>
  <c r="A126" i="2"/>
  <c r="H126" i="2"/>
  <c r="E126" i="2"/>
  <c r="B127" i="2"/>
  <c r="G126" i="2"/>
  <c r="C126" i="2"/>
  <c r="D126" i="2"/>
  <c r="N14" i="18"/>
  <c r="M14" i="18"/>
  <c r="L15" i="18"/>
  <c r="O14" i="18"/>
  <c r="F127" i="2" l="1"/>
  <c r="A127" i="2"/>
  <c r="G127" i="2"/>
  <c r="H127" i="2"/>
  <c r="C127" i="2"/>
  <c r="E127" i="2"/>
  <c r="D127" i="2"/>
  <c r="B128" i="2"/>
  <c r="N15" i="18"/>
  <c r="L16" i="18"/>
  <c r="M15" i="18"/>
  <c r="O15" i="18"/>
  <c r="F128" i="2" l="1"/>
  <c r="C128" i="2"/>
  <c r="E128" i="2"/>
  <c r="B129" i="2"/>
  <c r="D128" i="2"/>
  <c r="G128" i="2"/>
  <c r="A128" i="2"/>
  <c r="H128" i="2"/>
  <c r="L17" i="18"/>
  <c r="O16" i="18"/>
  <c r="N16" i="18"/>
  <c r="M16" i="18"/>
  <c r="F129" i="2" l="1"/>
  <c r="E129" i="2"/>
  <c r="B130" i="2"/>
  <c r="H129" i="2"/>
  <c r="A129" i="2"/>
  <c r="G129" i="2"/>
  <c r="C129" i="2"/>
  <c r="D129" i="2"/>
  <c r="M17" i="18"/>
  <c r="L18" i="18"/>
  <c r="N17" i="18"/>
  <c r="O17" i="18"/>
  <c r="E130" i="2" l="1"/>
  <c r="H130" i="2"/>
  <c r="F130" i="2"/>
  <c r="A130" i="2"/>
  <c r="B131" i="2"/>
  <c r="D130" i="2"/>
  <c r="G130" i="2"/>
  <c r="C130" i="2"/>
  <c r="L19" i="18"/>
  <c r="N18" i="18"/>
  <c r="M18" i="18"/>
  <c r="O18" i="18"/>
  <c r="E131" i="2" l="1"/>
  <c r="C131" i="2"/>
  <c r="B132" i="2"/>
  <c r="D131" i="2"/>
  <c r="G131" i="2"/>
  <c r="A131" i="2"/>
  <c r="H131" i="2"/>
  <c r="F131" i="2"/>
  <c r="L20" i="18"/>
  <c r="N19" i="18"/>
  <c r="O19" i="18"/>
  <c r="M19" i="18"/>
  <c r="E132" i="2" l="1"/>
  <c r="A132" i="2"/>
  <c r="B133" i="2"/>
  <c r="I140" i="2"/>
  <c r="D132" i="2"/>
  <c r="H132" i="2"/>
  <c r="I143" i="2"/>
  <c r="I141" i="2"/>
  <c r="C132" i="2"/>
  <c r="G132" i="2"/>
  <c r="F132" i="2"/>
  <c r="I139" i="2"/>
  <c r="I142" i="2"/>
  <c r="N20" i="18"/>
  <c r="L21" i="18"/>
  <c r="O20" i="18"/>
  <c r="M20" i="18"/>
  <c r="C133" i="2" l="1"/>
  <c r="D133" i="2"/>
  <c r="G133" i="2"/>
  <c r="E133" i="2"/>
  <c r="B134" i="2"/>
  <c r="F133" i="2"/>
  <c r="H133" i="2"/>
  <c r="A133" i="2"/>
  <c r="L22" i="18"/>
  <c r="N21" i="18"/>
  <c r="O21" i="18"/>
  <c r="M21" i="18"/>
  <c r="G134" i="2" l="1"/>
  <c r="F134" i="2"/>
  <c r="E134" i="2"/>
  <c r="B135" i="2"/>
  <c r="D134" i="2"/>
  <c r="C134" i="2"/>
  <c r="A134" i="2"/>
  <c r="H134" i="2"/>
  <c r="L23" i="18"/>
  <c r="O22" i="18"/>
  <c r="N22" i="18"/>
  <c r="M22" i="18"/>
  <c r="G135" i="2" l="1"/>
  <c r="F135" i="2"/>
  <c r="C135" i="2"/>
  <c r="H135" i="2"/>
  <c r="A135" i="2"/>
  <c r="D135" i="2"/>
  <c r="E135" i="2"/>
  <c r="B136" i="2"/>
  <c r="L24" i="18"/>
  <c r="N23" i="18"/>
  <c r="O23" i="18"/>
  <c r="M23" i="18"/>
  <c r="G136" i="2" l="1"/>
  <c r="F136" i="2"/>
  <c r="A136" i="2"/>
  <c r="E136" i="2"/>
  <c r="B137" i="2"/>
  <c r="D136" i="2"/>
  <c r="C136" i="2"/>
  <c r="H136" i="2"/>
  <c r="L25" i="18"/>
  <c r="O24" i="18"/>
  <c r="N24" i="18"/>
  <c r="M24" i="18"/>
  <c r="G137" i="2" l="1"/>
  <c r="F137" i="2"/>
  <c r="H137" i="2"/>
  <c r="A137" i="2"/>
  <c r="B138" i="2"/>
  <c r="D137" i="2"/>
  <c r="C137" i="2"/>
  <c r="E137" i="2"/>
  <c r="L26" i="18"/>
  <c r="N25" i="18"/>
  <c r="O25" i="18"/>
  <c r="M25" i="18"/>
  <c r="G138" i="2" l="1"/>
  <c r="F138" i="2"/>
  <c r="B139" i="2"/>
  <c r="E138" i="2"/>
  <c r="D138" i="2"/>
  <c r="A138" i="2"/>
  <c r="H138" i="2"/>
  <c r="C138" i="2"/>
  <c r="L27" i="18"/>
  <c r="O26" i="18"/>
  <c r="M26" i="18"/>
  <c r="N26" i="18"/>
  <c r="G139" i="2" l="1"/>
  <c r="F139" i="2"/>
  <c r="H139" i="2"/>
  <c r="A139" i="2"/>
  <c r="C139" i="2"/>
  <c r="E139" i="2"/>
  <c r="B140" i="2"/>
  <c r="D139" i="2"/>
  <c r="L28" i="18"/>
  <c r="N27" i="18"/>
  <c r="O27" i="18"/>
  <c r="M27" i="18"/>
  <c r="G140" i="2" l="1"/>
  <c r="F140" i="2"/>
  <c r="C140" i="2"/>
  <c r="B141" i="2"/>
  <c r="D140" i="2"/>
  <c r="A140" i="2"/>
  <c r="E140" i="2"/>
  <c r="H140" i="2"/>
  <c r="N28" i="18"/>
  <c r="L29" i="18"/>
  <c r="O28" i="18"/>
  <c r="M28" i="18"/>
  <c r="G141" i="2" l="1"/>
  <c r="F141" i="2"/>
  <c r="B142" i="2"/>
  <c r="A141" i="2"/>
  <c r="C141" i="2"/>
  <c r="E141" i="2"/>
  <c r="H141" i="2"/>
  <c r="D141" i="2"/>
  <c r="L30" i="18"/>
  <c r="N29" i="18"/>
  <c r="O29" i="18"/>
  <c r="M29" i="18"/>
  <c r="G142" i="2" l="1"/>
  <c r="F142" i="2"/>
  <c r="B143" i="2"/>
  <c r="D142" i="2"/>
  <c r="A142" i="2"/>
  <c r="C142" i="2"/>
  <c r="E142" i="2"/>
  <c r="H142" i="2"/>
  <c r="L31" i="18"/>
  <c r="O30" i="18"/>
  <c r="N30" i="18"/>
  <c r="M30" i="18"/>
  <c r="G143" i="2" l="1"/>
  <c r="F143" i="2"/>
  <c r="C143" i="2"/>
  <c r="A143" i="2"/>
  <c r="E143" i="2"/>
  <c r="D143" i="2"/>
  <c r="B144" i="2"/>
  <c r="H143" i="2"/>
  <c r="M31" i="18"/>
  <c r="N31" i="18"/>
  <c r="O31" i="18"/>
  <c r="L32" i="18"/>
  <c r="G144" i="2" l="1"/>
  <c r="H144" i="2"/>
  <c r="F144" i="2"/>
  <c r="I154" i="2"/>
  <c r="B145" i="2"/>
  <c r="D144" i="2"/>
  <c r="I152" i="2"/>
  <c r="I151" i="2"/>
  <c r="C144" i="2"/>
  <c r="I153" i="2"/>
  <c r="E144" i="2"/>
  <c r="A144" i="2"/>
  <c r="I155" i="2"/>
  <c r="L33" i="18"/>
  <c r="M32" i="18"/>
  <c r="N32" i="18"/>
  <c r="O32" i="18"/>
  <c r="M33" i="18" l="1"/>
  <c r="O33" i="18"/>
  <c r="N33" i="18"/>
  <c r="L34" i="18"/>
  <c r="A145" i="2"/>
  <c r="C145" i="2"/>
  <c r="D145" i="2"/>
  <c r="B146" i="2"/>
  <c r="G145" i="2"/>
  <c r="F145" i="2"/>
  <c r="E145" i="2"/>
  <c r="H145" i="2"/>
  <c r="H146" i="2" l="1"/>
  <c r="C146" i="2"/>
  <c r="E146" i="2"/>
  <c r="B147" i="2"/>
  <c r="G146" i="2"/>
  <c r="F146" i="2"/>
  <c r="A146" i="2"/>
  <c r="D146" i="2"/>
  <c r="L35" i="18"/>
  <c r="O34" i="18"/>
  <c r="M34" i="18"/>
  <c r="N34" i="18"/>
  <c r="A147" i="2" l="1"/>
  <c r="C147" i="2"/>
  <c r="E147" i="2"/>
  <c r="D147" i="2"/>
  <c r="G147" i="2"/>
  <c r="F147" i="2"/>
  <c r="B148" i="2"/>
  <c r="H147" i="2"/>
  <c r="M35" i="18"/>
  <c r="O35" i="18"/>
  <c r="L36" i="18"/>
  <c r="N35" i="18"/>
  <c r="H148" i="2" l="1"/>
  <c r="C148" i="2"/>
  <c r="F148" i="2"/>
  <c r="E148" i="2"/>
  <c r="B149" i="2"/>
  <c r="D148" i="2"/>
  <c r="G148" i="2"/>
  <c r="A148" i="2"/>
  <c r="L37" i="18"/>
  <c r="O36" i="18"/>
  <c r="N36" i="18"/>
  <c r="M36" i="18"/>
  <c r="A149" i="2" l="1"/>
  <c r="C149" i="2"/>
  <c r="D149" i="2"/>
  <c r="G149" i="2"/>
  <c r="F149" i="2"/>
  <c r="E149" i="2"/>
  <c r="B150" i="2"/>
  <c r="H149" i="2"/>
  <c r="M37" i="18"/>
  <c r="O37" i="18"/>
  <c r="L38" i="18"/>
  <c r="N37" i="18"/>
  <c r="H150" i="2" l="1"/>
  <c r="C150" i="2"/>
  <c r="D150" i="2"/>
  <c r="E150" i="2"/>
  <c r="B151" i="2"/>
  <c r="G150" i="2"/>
  <c r="F150" i="2"/>
  <c r="A150" i="2"/>
  <c r="L39" i="18"/>
  <c r="O38" i="18"/>
  <c r="N38" i="18"/>
  <c r="M38" i="18"/>
  <c r="A151" i="2" l="1"/>
  <c r="C151" i="2"/>
  <c r="F151" i="2"/>
  <c r="D151" i="2"/>
  <c r="G151" i="2"/>
  <c r="H151" i="2"/>
  <c r="B152" i="2"/>
  <c r="E151" i="2"/>
  <c r="M39" i="18"/>
  <c r="N39" i="18"/>
  <c r="O39" i="18"/>
  <c r="L40" i="18"/>
  <c r="L41" i="18" l="1"/>
  <c r="M40" i="18"/>
  <c r="O40" i="18"/>
  <c r="N40" i="18"/>
  <c r="H152" i="2"/>
  <c r="C152" i="2"/>
  <c r="E152" i="2"/>
  <c r="B153" i="2"/>
  <c r="D152" i="2"/>
  <c r="F152" i="2"/>
  <c r="G152" i="2"/>
  <c r="A152" i="2"/>
  <c r="A153" i="2" l="1"/>
  <c r="C153" i="2"/>
  <c r="D153" i="2"/>
  <c r="G153" i="2"/>
  <c r="F153" i="2"/>
  <c r="H153" i="2"/>
  <c r="E153" i="2"/>
  <c r="B154" i="2"/>
  <c r="M41" i="18"/>
  <c r="O41" i="18"/>
  <c r="L42" i="18"/>
  <c r="N41" i="18"/>
  <c r="N42" i="18" l="1"/>
  <c r="M42" i="18"/>
  <c r="L43" i="18"/>
  <c r="O42" i="18"/>
  <c r="H154" i="2"/>
  <c r="C154" i="2"/>
  <c r="E154" i="2"/>
  <c r="B155" i="2"/>
  <c r="D154" i="2"/>
  <c r="F154" i="2"/>
  <c r="A154" i="2"/>
  <c r="G154" i="2"/>
  <c r="O43" i="18" l="1"/>
  <c r="L44" i="18"/>
  <c r="N43" i="18"/>
  <c r="M43" i="18"/>
  <c r="A155" i="2"/>
  <c r="C155" i="2"/>
  <c r="E155" i="2"/>
  <c r="G155" i="2"/>
  <c r="F155" i="2"/>
  <c r="H155" i="2"/>
  <c r="B156" i="2"/>
  <c r="D155" i="2"/>
  <c r="I165" i="2" l="1"/>
  <c r="C156" i="2"/>
  <c r="I163" i="2"/>
  <c r="F156" i="2"/>
  <c r="E156" i="2"/>
  <c r="H156" i="2"/>
  <c r="B157" i="2"/>
  <c r="D156" i="2"/>
  <c r="G156" i="2"/>
  <c r="I167" i="2"/>
  <c r="A156" i="2"/>
  <c r="I164" i="2"/>
  <c r="I166" i="2"/>
  <c r="N44" i="18"/>
  <c r="M44" i="18"/>
  <c r="L45" i="18"/>
  <c r="O44" i="18"/>
  <c r="L46" i="18" l="1"/>
  <c r="N45" i="18"/>
  <c r="O45" i="18"/>
  <c r="M45" i="18"/>
  <c r="B158" i="2"/>
  <c r="D157" i="2"/>
  <c r="G157" i="2"/>
  <c r="C157" i="2"/>
  <c r="E157" i="2"/>
  <c r="A157" i="2"/>
  <c r="H157" i="2"/>
  <c r="F157" i="2"/>
  <c r="B159" i="2" l="1"/>
  <c r="D158" i="2"/>
  <c r="H158" i="2"/>
  <c r="C158" i="2"/>
  <c r="E158" i="2"/>
  <c r="F158" i="2"/>
  <c r="G158" i="2"/>
  <c r="A158" i="2"/>
  <c r="M46" i="18"/>
  <c r="N46" i="18"/>
  <c r="L47" i="18"/>
  <c r="O46" i="18"/>
  <c r="M47" i="18" l="1"/>
  <c r="O47" i="18"/>
  <c r="N47" i="18"/>
  <c r="L48" i="18"/>
  <c r="B160" i="2"/>
  <c r="D159" i="2"/>
  <c r="C159" i="2"/>
  <c r="E159" i="2"/>
  <c r="G159" i="2"/>
  <c r="F159" i="2"/>
  <c r="H159" i="2"/>
  <c r="A159" i="2"/>
  <c r="M48" i="18" l="1"/>
  <c r="N48" i="18"/>
  <c r="O48" i="18"/>
  <c r="L49" i="18"/>
  <c r="B161" i="2"/>
  <c r="D160" i="2"/>
  <c r="A160" i="2"/>
  <c r="F160" i="2"/>
  <c r="H160" i="2"/>
  <c r="G160" i="2"/>
  <c r="C160" i="2"/>
  <c r="E160" i="2"/>
  <c r="B162" i="2" l="1"/>
  <c r="D161" i="2"/>
  <c r="C161" i="2"/>
  <c r="E161" i="2"/>
  <c r="G161" i="2"/>
  <c r="F161" i="2"/>
  <c r="H161" i="2"/>
  <c r="A161" i="2"/>
  <c r="M49" i="18"/>
  <c r="O49" i="18"/>
  <c r="N49" i="18"/>
  <c r="L50" i="18"/>
  <c r="M50" i="18" l="1"/>
  <c r="N50" i="18"/>
  <c r="L51" i="18"/>
  <c r="O50" i="18"/>
  <c r="B163" i="2"/>
  <c r="D162" i="2"/>
  <c r="G162" i="2"/>
  <c r="E162" i="2"/>
  <c r="F162" i="2"/>
  <c r="A162" i="2"/>
  <c r="H162" i="2"/>
  <c r="C162" i="2"/>
  <c r="O51" i="18" l="1"/>
  <c r="M51" i="18"/>
  <c r="N51" i="18"/>
  <c r="L52" i="18"/>
  <c r="B164" i="2"/>
  <c r="D163" i="2"/>
  <c r="H163" i="2"/>
  <c r="C163" i="2"/>
  <c r="E163" i="2"/>
  <c r="G163" i="2"/>
  <c r="F163" i="2"/>
  <c r="A163" i="2"/>
  <c r="B165" i="2" l="1"/>
  <c r="D164" i="2"/>
  <c r="C164" i="2"/>
  <c r="E164" i="2"/>
  <c r="G164" i="2"/>
  <c r="F164" i="2"/>
  <c r="A164" i="2"/>
  <c r="H164" i="2"/>
  <c r="M52" i="18"/>
  <c r="N52" i="18"/>
  <c r="L53" i="18"/>
  <c r="O52" i="18"/>
  <c r="P3" i="18" l="1"/>
  <c r="O53" i="18"/>
  <c r="N53" i="18"/>
  <c r="M53" i="18"/>
  <c r="B166" i="2"/>
  <c r="D165" i="2"/>
  <c r="G165" i="2"/>
  <c r="C165" i="2"/>
  <c r="E165" i="2"/>
  <c r="F165" i="2"/>
  <c r="H165" i="2"/>
  <c r="A165" i="2"/>
  <c r="B167" i="2" l="1"/>
  <c r="D166" i="2"/>
  <c r="C166" i="2"/>
  <c r="E166" i="2"/>
  <c r="H166" i="2"/>
  <c r="F166" i="2"/>
  <c r="A166" i="2"/>
  <c r="G166" i="2"/>
  <c r="S3" i="18"/>
  <c r="R3" i="18"/>
  <c r="Q3" i="18"/>
  <c r="P4" i="18"/>
  <c r="R4" i="18" l="1"/>
  <c r="Q4" i="18"/>
  <c r="S4" i="18"/>
  <c r="P5" i="18"/>
  <c r="B168" i="2"/>
  <c r="D167" i="2"/>
  <c r="C167" i="2"/>
  <c r="E167" i="2"/>
  <c r="G167" i="2"/>
  <c r="F167" i="2"/>
  <c r="H167" i="2"/>
  <c r="A167" i="2"/>
  <c r="B169" i="2" l="1"/>
  <c r="I177" i="2"/>
  <c r="D168" i="2"/>
  <c r="I175" i="2"/>
  <c r="I178" i="2"/>
  <c r="I179" i="2"/>
  <c r="H168" i="2"/>
  <c r="C168" i="2"/>
  <c r="I176" i="2"/>
  <c r="A168" i="2"/>
  <c r="E168" i="2"/>
  <c r="G168" i="2"/>
  <c r="F168" i="2"/>
  <c r="R5" i="18"/>
  <c r="S5" i="18"/>
  <c r="Q5" i="18"/>
  <c r="P6" i="18"/>
  <c r="Q6" i="18" l="1"/>
  <c r="S6" i="18"/>
  <c r="P7" i="18"/>
  <c r="R6" i="18"/>
  <c r="F169" i="2"/>
  <c r="H169" i="2"/>
  <c r="D169" i="2"/>
  <c r="C169" i="2"/>
  <c r="E169" i="2"/>
  <c r="B170" i="2"/>
  <c r="G169" i="2"/>
  <c r="A169" i="2"/>
  <c r="P8" i="18" l="1"/>
  <c r="S7" i="18"/>
  <c r="Q7" i="18"/>
  <c r="R7" i="18"/>
  <c r="F170" i="2"/>
  <c r="A170" i="2"/>
  <c r="G170" i="2"/>
  <c r="H170" i="2"/>
  <c r="C170" i="2"/>
  <c r="E170" i="2"/>
  <c r="B171" i="2"/>
  <c r="D170" i="2"/>
  <c r="F171" i="2" l="1"/>
  <c r="H171" i="2"/>
  <c r="E171" i="2"/>
  <c r="C171" i="2"/>
  <c r="B172" i="2"/>
  <c r="G171" i="2"/>
  <c r="D171" i="2"/>
  <c r="A171" i="2"/>
  <c r="Q8" i="18"/>
  <c r="P9" i="18"/>
  <c r="R8" i="18"/>
  <c r="S8" i="18"/>
  <c r="F172" i="2" l="1"/>
  <c r="A172" i="2"/>
  <c r="G172" i="2"/>
  <c r="H172" i="2"/>
  <c r="C172" i="2"/>
  <c r="E172" i="2"/>
  <c r="B173" i="2"/>
  <c r="D172" i="2"/>
  <c r="Q9" i="18"/>
  <c r="R9" i="18"/>
  <c r="P10" i="18"/>
  <c r="S9" i="18"/>
  <c r="Q10" i="18" l="1"/>
  <c r="R10" i="18"/>
  <c r="P11" i="18"/>
  <c r="S10" i="18"/>
  <c r="F173" i="2"/>
  <c r="A173" i="2"/>
  <c r="C173" i="2"/>
  <c r="D173" i="2"/>
  <c r="G173" i="2"/>
  <c r="H173" i="2"/>
  <c r="B174" i="2"/>
  <c r="E173" i="2"/>
  <c r="F174" i="2" l="1"/>
  <c r="C174" i="2"/>
  <c r="B175" i="2"/>
  <c r="D174" i="2"/>
  <c r="G174" i="2"/>
  <c r="A174" i="2"/>
  <c r="H174" i="2"/>
  <c r="E174" i="2"/>
  <c r="R11" i="18"/>
  <c r="P12" i="18"/>
  <c r="S11" i="18"/>
  <c r="Q11" i="18"/>
  <c r="Q12" i="18" l="1"/>
  <c r="S12" i="18"/>
  <c r="P13" i="18"/>
  <c r="R12" i="18"/>
  <c r="F175" i="2"/>
  <c r="E175" i="2"/>
  <c r="G175" i="2"/>
  <c r="H175" i="2"/>
  <c r="A175" i="2"/>
  <c r="C175" i="2"/>
  <c r="B176" i="2"/>
  <c r="D175" i="2"/>
  <c r="F176" i="2" l="1"/>
  <c r="D176" i="2"/>
  <c r="C176" i="2"/>
  <c r="E176" i="2"/>
  <c r="B177" i="2"/>
  <c r="G176" i="2"/>
  <c r="A176" i="2"/>
  <c r="H176" i="2"/>
  <c r="P14" i="18"/>
  <c r="S13" i="18"/>
  <c r="Q13" i="18"/>
  <c r="R13" i="18"/>
  <c r="F177" i="2" l="1"/>
  <c r="G177" i="2"/>
  <c r="E177" i="2"/>
  <c r="B178" i="2"/>
  <c r="D177" i="2"/>
  <c r="A177" i="2"/>
  <c r="C177" i="2"/>
  <c r="H177" i="2"/>
  <c r="Q14" i="18"/>
  <c r="R14" i="18"/>
  <c r="P15" i="18"/>
  <c r="S14" i="18"/>
  <c r="P16" i="18" l="1"/>
  <c r="R15" i="18"/>
  <c r="S15" i="18"/>
  <c r="Q15" i="18"/>
  <c r="F178" i="2"/>
  <c r="H178" i="2"/>
  <c r="A178" i="2"/>
  <c r="G178" i="2"/>
  <c r="D178" i="2"/>
  <c r="B179" i="2"/>
  <c r="C178" i="2"/>
  <c r="E178" i="2"/>
  <c r="F179" i="2" l="1"/>
  <c r="C179" i="2"/>
  <c r="E179" i="2"/>
  <c r="B180" i="2"/>
  <c r="D179" i="2"/>
  <c r="G179" i="2"/>
  <c r="H179" i="2"/>
  <c r="A179" i="2"/>
  <c r="R16" i="18"/>
  <c r="P17" i="18"/>
  <c r="Q16" i="18"/>
  <c r="S16" i="18"/>
  <c r="F180" i="2" l="1"/>
  <c r="E180" i="2"/>
  <c r="I190" i="2"/>
  <c r="D180" i="2"/>
  <c r="G180" i="2"/>
  <c r="I191" i="2"/>
  <c r="C180" i="2"/>
  <c r="B181" i="2"/>
  <c r="I189" i="2"/>
  <c r="H180" i="2"/>
  <c r="I188" i="2"/>
  <c r="I187" i="2"/>
  <c r="A180" i="2"/>
  <c r="P18" i="18"/>
  <c r="Q17" i="18"/>
  <c r="S17" i="18"/>
  <c r="R17" i="18"/>
  <c r="C181" i="2" l="1"/>
  <c r="H181" i="2"/>
  <c r="E181" i="2"/>
  <c r="B182" i="2"/>
  <c r="D181" i="2"/>
  <c r="G181" i="2"/>
  <c r="F181" i="2"/>
  <c r="A181" i="2"/>
  <c r="Q18" i="18"/>
  <c r="S18" i="18"/>
  <c r="R18" i="18"/>
  <c r="P19" i="18"/>
  <c r="C182" i="2" l="1"/>
  <c r="F182" i="2"/>
  <c r="A182" i="2"/>
  <c r="H182" i="2"/>
  <c r="D182" i="2"/>
  <c r="G182" i="2"/>
  <c r="E182" i="2"/>
  <c r="B183" i="2"/>
  <c r="P20" i="18"/>
  <c r="S19" i="18"/>
  <c r="Q19" i="18"/>
  <c r="R19" i="18"/>
  <c r="C183" i="2" l="1"/>
  <c r="E183" i="2"/>
  <c r="A183" i="2"/>
  <c r="B184" i="2"/>
  <c r="D183" i="2"/>
  <c r="G183" i="2"/>
  <c r="F183" i="2"/>
  <c r="H183" i="2"/>
  <c r="Q20" i="18"/>
  <c r="R20" i="18"/>
  <c r="S20" i="18"/>
  <c r="P21" i="18"/>
  <c r="C184" i="2" l="1"/>
  <c r="D184" i="2"/>
  <c r="B185" i="2"/>
  <c r="G184" i="2"/>
  <c r="F184" i="2"/>
  <c r="E184" i="2"/>
  <c r="A184" i="2"/>
  <c r="H184" i="2"/>
  <c r="P22" i="18"/>
  <c r="Q21" i="18"/>
  <c r="S21" i="18"/>
  <c r="R21" i="18"/>
  <c r="C185" i="2" l="1"/>
  <c r="G185" i="2"/>
  <c r="F185" i="2"/>
  <c r="H185" i="2"/>
  <c r="A185" i="2"/>
  <c r="D185" i="2"/>
  <c r="E185" i="2"/>
  <c r="B186" i="2"/>
  <c r="P23" i="18"/>
  <c r="Q22" i="18"/>
  <c r="S22" i="18"/>
  <c r="R22" i="18"/>
  <c r="C186" i="2" l="1"/>
  <c r="A186" i="2"/>
  <c r="E186" i="2"/>
  <c r="B187" i="2"/>
  <c r="F186" i="2"/>
  <c r="H186" i="2"/>
  <c r="G186" i="2"/>
  <c r="D186" i="2"/>
  <c r="P24" i="18"/>
  <c r="R23" i="18"/>
  <c r="Q23" i="18"/>
  <c r="S23" i="18"/>
  <c r="C187" i="2" l="1"/>
  <c r="A187" i="2"/>
  <c r="B188" i="2"/>
  <c r="D187" i="2"/>
  <c r="G187" i="2"/>
  <c r="E187" i="2"/>
  <c r="F187" i="2"/>
  <c r="H187" i="2"/>
  <c r="P25" i="18"/>
  <c r="Q24" i="18"/>
  <c r="S24" i="18"/>
  <c r="R24" i="18"/>
  <c r="C188" i="2" l="1"/>
  <c r="E188" i="2"/>
  <c r="A188" i="2"/>
  <c r="H188" i="2"/>
  <c r="B189" i="2"/>
  <c r="D188" i="2"/>
  <c r="G188" i="2"/>
  <c r="F188" i="2"/>
  <c r="P26" i="18"/>
  <c r="S25" i="18"/>
  <c r="R25" i="18"/>
  <c r="Q25" i="18"/>
  <c r="C189" i="2" l="1"/>
  <c r="B190" i="2"/>
  <c r="E189" i="2"/>
  <c r="H189" i="2"/>
  <c r="A189" i="2"/>
  <c r="F189" i="2"/>
  <c r="D189" i="2"/>
  <c r="G189" i="2"/>
  <c r="S26" i="18"/>
  <c r="P27" i="18"/>
  <c r="Q26" i="18"/>
  <c r="R26" i="18"/>
  <c r="R27" i="18" l="1"/>
  <c r="S27" i="18"/>
  <c r="Q27" i="18"/>
  <c r="P28" i="18"/>
  <c r="C190" i="2"/>
  <c r="G190" i="2"/>
  <c r="F190" i="2"/>
  <c r="A190" i="2"/>
  <c r="D190" i="2"/>
  <c r="H190" i="2"/>
  <c r="E190" i="2"/>
  <c r="B191" i="2"/>
  <c r="Q28" i="18" l="1"/>
  <c r="P29" i="18"/>
  <c r="S28" i="18"/>
  <c r="R28" i="18"/>
  <c r="C191" i="2"/>
  <c r="F191" i="2"/>
  <c r="A191" i="2"/>
  <c r="E191" i="2"/>
  <c r="B192" i="2"/>
  <c r="D191" i="2"/>
  <c r="G191" i="2"/>
  <c r="H191" i="2"/>
  <c r="R29" i="18" l="1"/>
  <c r="P30" i="18"/>
  <c r="S29" i="18"/>
  <c r="Q29" i="18"/>
  <c r="C192" i="2"/>
  <c r="A192" i="2"/>
  <c r="I200" i="2"/>
  <c r="B193" i="2"/>
  <c r="H192" i="2"/>
  <c r="D192" i="2"/>
  <c r="I203" i="2"/>
  <c r="I201" i="2"/>
  <c r="I199" i="2"/>
  <c r="E192" i="2"/>
  <c r="F192" i="2"/>
  <c r="G192" i="2"/>
  <c r="I202" i="2"/>
  <c r="D193" i="2" l="1"/>
  <c r="G193" i="2"/>
  <c r="C193" i="2"/>
  <c r="E193" i="2"/>
  <c r="A193" i="2"/>
  <c r="B194" i="2"/>
  <c r="F193" i="2"/>
  <c r="H193" i="2"/>
  <c r="Q30" i="18"/>
  <c r="S30" i="18"/>
  <c r="R30" i="18"/>
  <c r="P31" i="18"/>
  <c r="R31" i="18" l="1"/>
  <c r="Q31" i="18"/>
  <c r="P32" i="18"/>
  <c r="S31" i="18"/>
  <c r="D194" i="2"/>
  <c r="A194" i="2"/>
  <c r="G194" i="2"/>
  <c r="F194" i="2"/>
  <c r="C194" i="2"/>
  <c r="E194" i="2"/>
  <c r="B195" i="2"/>
  <c r="H194" i="2"/>
  <c r="D195" i="2" l="1"/>
  <c r="A195" i="2"/>
  <c r="H195" i="2"/>
  <c r="C195" i="2"/>
  <c r="E195" i="2"/>
  <c r="B196" i="2"/>
  <c r="G195" i="2"/>
  <c r="F195" i="2"/>
  <c r="S32" i="18"/>
  <c r="R32" i="18"/>
  <c r="Q32" i="18"/>
  <c r="P33" i="18"/>
  <c r="D196" i="2" l="1"/>
  <c r="C196" i="2"/>
  <c r="E196" i="2"/>
  <c r="B197" i="2"/>
  <c r="G196" i="2"/>
  <c r="F196" i="2"/>
  <c r="A196" i="2"/>
  <c r="H196" i="2"/>
  <c r="R33" i="18"/>
  <c r="Q33" i="18"/>
  <c r="P34" i="18"/>
  <c r="S33" i="18"/>
  <c r="S34" i="18" l="1"/>
  <c r="P35" i="18"/>
  <c r="Q34" i="18"/>
  <c r="R34" i="18"/>
  <c r="D197" i="2"/>
  <c r="E197" i="2"/>
  <c r="G197" i="2"/>
  <c r="F197" i="2"/>
  <c r="B198" i="2"/>
  <c r="H197" i="2"/>
  <c r="A197" i="2"/>
  <c r="C197" i="2"/>
  <c r="R35" i="18" l="1"/>
  <c r="P36" i="18"/>
  <c r="S35" i="18"/>
  <c r="Q35" i="18"/>
  <c r="D198" i="2"/>
  <c r="G198" i="2"/>
  <c r="E198" i="2"/>
  <c r="B199" i="2"/>
  <c r="F198" i="2"/>
  <c r="A198" i="2"/>
  <c r="C198" i="2"/>
  <c r="H198" i="2"/>
  <c r="D199" i="2" l="1"/>
  <c r="F199" i="2"/>
  <c r="C199" i="2"/>
  <c r="E199" i="2"/>
  <c r="A199" i="2"/>
  <c r="G199" i="2"/>
  <c r="B200" i="2"/>
  <c r="H199" i="2"/>
  <c r="P37" i="18"/>
  <c r="Q36" i="18"/>
  <c r="S36" i="18"/>
  <c r="R36" i="18"/>
  <c r="D200" i="2" l="1"/>
  <c r="H200" i="2"/>
  <c r="F200" i="2"/>
  <c r="A200" i="2"/>
  <c r="G200" i="2"/>
  <c r="B201" i="2"/>
  <c r="E200" i="2"/>
  <c r="C200" i="2"/>
  <c r="R37" i="18"/>
  <c r="P38" i="18"/>
  <c r="Q37" i="18"/>
  <c r="S37" i="18"/>
  <c r="D201" i="2" l="1"/>
  <c r="A201" i="2"/>
  <c r="C201" i="2"/>
  <c r="E201" i="2"/>
  <c r="B202" i="2"/>
  <c r="G201" i="2"/>
  <c r="F201" i="2"/>
  <c r="H201" i="2"/>
  <c r="P39" i="18"/>
  <c r="S38" i="18"/>
  <c r="R38" i="18"/>
  <c r="Q38" i="18"/>
  <c r="D202" i="2" l="1"/>
  <c r="E202" i="2"/>
  <c r="B203" i="2"/>
  <c r="G202" i="2"/>
  <c r="H202" i="2"/>
  <c r="C202" i="2"/>
  <c r="F202" i="2"/>
  <c r="A202" i="2"/>
  <c r="R39" i="18"/>
  <c r="Q39" i="18"/>
  <c r="S39" i="18"/>
  <c r="P40" i="18"/>
  <c r="D203" i="2" l="1"/>
  <c r="B204" i="2"/>
  <c r="F203" i="2"/>
  <c r="H203" i="2"/>
  <c r="C203" i="2"/>
  <c r="E203" i="2"/>
  <c r="G203" i="2"/>
  <c r="A203" i="2"/>
  <c r="R40" i="18"/>
  <c r="P41" i="18"/>
  <c r="Q40" i="18"/>
  <c r="S40" i="18"/>
  <c r="R41" i="18" l="1"/>
  <c r="S41" i="18"/>
  <c r="Q41" i="18"/>
  <c r="P42" i="18"/>
  <c r="D204" i="2"/>
  <c r="I212" i="2"/>
  <c r="F204" i="2"/>
  <c r="C204" i="2"/>
  <c r="I214" i="2"/>
  <c r="H204" i="2"/>
  <c r="E204" i="2"/>
  <c r="B205" i="2"/>
  <c r="G204" i="2"/>
  <c r="A204" i="2"/>
  <c r="I213" i="2"/>
  <c r="I211" i="2"/>
  <c r="I215" i="2"/>
  <c r="H205" i="2" l="1"/>
  <c r="E205" i="2"/>
  <c r="C205" i="2"/>
  <c r="B206" i="2"/>
  <c r="D205" i="2"/>
  <c r="G205" i="2"/>
  <c r="F205" i="2"/>
  <c r="A205" i="2"/>
  <c r="R42" i="18"/>
  <c r="Q42" i="18"/>
  <c r="P43" i="18"/>
  <c r="S42" i="18"/>
  <c r="A206" i="2" l="1"/>
  <c r="D206" i="2"/>
  <c r="B207" i="2"/>
  <c r="H206" i="2"/>
  <c r="F206" i="2"/>
  <c r="E206" i="2"/>
  <c r="G206" i="2"/>
  <c r="C206" i="2"/>
  <c r="Q43" i="18"/>
  <c r="R43" i="18"/>
  <c r="S43" i="18"/>
  <c r="P44" i="18"/>
  <c r="H207" i="2" l="1"/>
  <c r="G207" i="2"/>
  <c r="F207" i="2"/>
  <c r="C207" i="2"/>
  <c r="E207" i="2"/>
  <c r="B208" i="2"/>
  <c r="D207" i="2"/>
  <c r="A207" i="2"/>
  <c r="R44" i="18"/>
  <c r="S44" i="18"/>
  <c r="Q44" i="18"/>
  <c r="P45" i="18"/>
  <c r="A208" i="2" l="1"/>
  <c r="H208" i="2"/>
  <c r="C208" i="2"/>
  <c r="F208" i="2"/>
  <c r="G208" i="2"/>
  <c r="E208" i="2"/>
  <c r="B209" i="2"/>
  <c r="D208" i="2"/>
  <c r="R45" i="18"/>
  <c r="Q45" i="18"/>
  <c r="P46" i="18"/>
  <c r="S45" i="18"/>
  <c r="R46" i="18" l="1"/>
  <c r="P47" i="18"/>
  <c r="S46" i="18"/>
  <c r="Q46" i="18"/>
  <c r="H209" i="2"/>
  <c r="B210" i="2"/>
  <c r="C209" i="2"/>
  <c r="E209" i="2"/>
  <c r="D209" i="2"/>
  <c r="G209" i="2"/>
  <c r="A209" i="2"/>
  <c r="F209" i="2"/>
  <c r="B211" i="2" l="1"/>
  <c r="F210" i="2"/>
  <c r="C210" i="2"/>
  <c r="E210" i="2"/>
  <c r="D210" i="2"/>
  <c r="G210" i="2"/>
  <c r="A210" i="2"/>
  <c r="H210" i="2"/>
  <c r="Q47" i="18"/>
  <c r="R47" i="18"/>
  <c r="S47" i="18"/>
  <c r="P48" i="18"/>
  <c r="R48" i="18" l="1"/>
  <c r="Q48" i="18"/>
  <c r="S48" i="18"/>
  <c r="P49" i="18"/>
  <c r="B212" i="2"/>
  <c r="A211" i="2"/>
  <c r="F211" i="2"/>
  <c r="H211" i="2"/>
  <c r="C211" i="2"/>
  <c r="E211" i="2"/>
  <c r="D211" i="2"/>
  <c r="G211" i="2"/>
  <c r="Q49" i="18" l="1"/>
  <c r="S49" i="18"/>
  <c r="P50" i="18"/>
  <c r="R49" i="18"/>
  <c r="B213" i="2"/>
  <c r="H212" i="2"/>
  <c r="C212" i="2"/>
  <c r="E212" i="2"/>
  <c r="D212" i="2"/>
  <c r="G212" i="2"/>
  <c r="F212" i="2"/>
  <c r="A212" i="2"/>
  <c r="B214" i="2" l="1"/>
  <c r="E213" i="2"/>
  <c r="D213" i="2"/>
  <c r="H213" i="2"/>
  <c r="A213" i="2"/>
  <c r="G213" i="2"/>
  <c r="C213" i="2"/>
  <c r="F213" i="2"/>
  <c r="R50" i="18"/>
  <c r="P51" i="18"/>
  <c r="Q50" i="18"/>
  <c r="S50" i="18"/>
  <c r="R51" i="18" l="1"/>
  <c r="Q51" i="18"/>
  <c r="S51" i="18"/>
  <c r="P52" i="18"/>
  <c r="B215" i="2"/>
  <c r="D214" i="2"/>
  <c r="F214" i="2"/>
  <c r="C214" i="2"/>
  <c r="E214" i="2"/>
  <c r="G214" i="2"/>
  <c r="H214" i="2"/>
  <c r="A214" i="2"/>
  <c r="B216" i="2" l="1"/>
  <c r="F215" i="2"/>
  <c r="H215" i="2"/>
  <c r="A215" i="2"/>
  <c r="C215" i="2"/>
  <c r="D215" i="2"/>
  <c r="E215" i="2"/>
  <c r="G215" i="2"/>
  <c r="P53" i="18"/>
  <c r="Q52" i="18"/>
  <c r="R52" i="18"/>
  <c r="S52" i="18"/>
  <c r="R53" i="18" l="1"/>
  <c r="S53" i="18"/>
  <c r="Q53" i="18"/>
  <c r="B217" i="2"/>
  <c r="I225" i="2"/>
  <c r="I226" i="2"/>
  <c r="E216" i="2"/>
  <c r="H216" i="2"/>
  <c r="I227" i="2"/>
  <c r="I223" i="2"/>
  <c r="C216" i="2"/>
  <c r="D216" i="2"/>
  <c r="A216" i="2"/>
  <c r="I224" i="2"/>
  <c r="F216" i="2"/>
  <c r="G216" i="2"/>
  <c r="E217" i="2" l="1"/>
  <c r="A217" i="2"/>
  <c r="F217" i="2"/>
  <c r="G217" i="2"/>
  <c r="H217" i="2"/>
  <c r="B218" i="2"/>
  <c r="C217" i="2"/>
  <c r="D217" i="2"/>
  <c r="F218" i="2" l="1"/>
  <c r="G218" i="2"/>
  <c r="D218" i="2"/>
  <c r="A218" i="2"/>
  <c r="H218" i="2"/>
  <c r="B219" i="2"/>
  <c r="C218" i="2"/>
  <c r="E218" i="2"/>
  <c r="H219" i="2" l="1"/>
  <c r="C219" i="2"/>
  <c r="B220" i="2"/>
  <c r="D219" i="2"/>
  <c r="G219" i="2"/>
  <c r="F219" i="2"/>
  <c r="E219" i="2"/>
  <c r="A219" i="2"/>
  <c r="A220" i="2" l="1"/>
  <c r="C220" i="2"/>
  <c r="B221" i="2"/>
  <c r="F220" i="2"/>
  <c r="H220" i="2"/>
  <c r="G220" i="2"/>
  <c r="E220" i="2"/>
  <c r="D220" i="2"/>
  <c r="H221" i="2" l="1"/>
  <c r="E221" i="2"/>
  <c r="G221" i="2"/>
  <c r="C221" i="2"/>
  <c r="B222" i="2"/>
  <c r="D221" i="2"/>
  <c r="A221" i="2"/>
  <c r="F221" i="2"/>
  <c r="A222" i="2" l="1"/>
  <c r="D222" i="2"/>
  <c r="H222" i="2"/>
  <c r="E222" i="2"/>
  <c r="G222" i="2"/>
  <c r="F222" i="2"/>
  <c r="B223" i="2"/>
  <c r="C222" i="2"/>
  <c r="B224" i="2" l="1"/>
  <c r="E223" i="2"/>
  <c r="C223" i="2"/>
  <c r="A223" i="2"/>
  <c r="H223" i="2"/>
  <c r="G223" i="2"/>
  <c r="F223" i="2"/>
  <c r="D223" i="2"/>
  <c r="E224" i="2" l="1"/>
  <c r="B225" i="2"/>
  <c r="G224" i="2"/>
  <c r="D224" i="2"/>
  <c r="F224" i="2"/>
  <c r="C224" i="2"/>
  <c r="A224" i="2"/>
  <c r="H224" i="2"/>
  <c r="B226" i="2" l="1"/>
  <c r="C225" i="2"/>
  <c r="E225" i="2"/>
  <c r="G225" i="2"/>
  <c r="F225" i="2"/>
  <c r="H225" i="2"/>
  <c r="A225" i="2"/>
  <c r="D225" i="2"/>
  <c r="E226" i="2" l="1"/>
  <c r="H226" i="2"/>
  <c r="A226" i="2"/>
  <c r="B227" i="2"/>
  <c r="C226" i="2"/>
  <c r="G226" i="2"/>
  <c r="D226" i="2"/>
  <c r="F226" i="2"/>
  <c r="B228" i="2" l="1"/>
  <c r="D227" i="2"/>
  <c r="G227" i="2"/>
  <c r="F227" i="2"/>
  <c r="E227" i="2"/>
  <c r="H227" i="2"/>
  <c r="C227" i="2"/>
  <c r="A227" i="2"/>
  <c r="I237" i="2" l="1"/>
  <c r="D228" i="2"/>
  <c r="E228" i="2"/>
  <c r="G228" i="2"/>
  <c r="I236" i="2"/>
  <c r="F228" i="2"/>
  <c r="C228" i="2"/>
  <c r="B229" i="2"/>
  <c r="I239" i="2"/>
  <c r="H228" i="2"/>
  <c r="I238" i="2"/>
  <c r="I235" i="2"/>
  <c r="A228" i="2"/>
  <c r="G229" i="2" l="1"/>
  <c r="C229" i="2"/>
  <c r="D229" i="2"/>
  <c r="F229" i="2"/>
  <c r="E229" i="2"/>
  <c r="H229" i="2"/>
  <c r="B230" i="2"/>
  <c r="A229" i="2"/>
  <c r="G230" i="2" l="1"/>
  <c r="E230" i="2"/>
  <c r="D230" i="2"/>
  <c r="B231" i="2"/>
  <c r="A230" i="2"/>
  <c r="H230" i="2"/>
  <c r="F230" i="2"/>
  <c r="C230" i="2"/>
  <c r="G231" i="2" l="1"/>
  <c r="A231" i="2"/>
  <c r="E231" i="2"/>
  <c r="D231" i="2"/>
  <c r="B232" i="2"/>
  <c r="F231" i="2"/>
  <c r="H231" i="2"/>
  <c r="C231" i="2"/>
  <c r="G232" i="2" l="1"/>
  <c r="D232" i="2"/>
  <c r="F232" i="2"/>
  <c r="C232" i="2"/>
  <c r="B233" i="2"/>
  <c r="A232" i="2"/>
  <c r="E232" i="2"/>
  <c r="H232" i="2"/>
  <c r="G233" i="2" l="1"/>
  <c r="D233" i="2"/>
  <c r="E233" i="2"/>
  <c r="H233" i="2"/>
  <c r="C233" i="2"/>
  <c r="B234" i="2"/>
  <c r="F233" i="2"/>
  <c r="A233" i="2"/>
  <c r="G234" i="2" l="1"/>
  <c r="F234" i="2"/>
  <c r="A234" i="2"/>
  <c r="E234" i="2"/>
  <c r="H234" i="2"/>
  <c r="B235" i="2"/>
  <c r="C234" i="2"/>
  <c r="D234" i="2"/>
  <c r="G235" i="2" l="1"/>
  <c r="E235" i="2"/>
  <c r="A235" i="2"/>
  <c r="D235" i="2"/>
  <c r="F235" i="2"/>
  <c r="C235" i="2"/>
  <c r="H235" i="2"/>
  <c r="B236" i="2"/>
  <c r="G236" i="2" l="1"/>
  <c r="B237" i="2"/>
  <c r="D236" i="2"/>
  <c r="F236" i="2"/>
  <c r="C236" i="2"/>
  <c r="H236" i="2"/>
  <c r="E236" i="2"/>
  <c r="A236" i="2"/>
  <c r="G237" i="2" l="1"/>
  <c r="C237" i="2"/>
  <c r="F237" i="2"/>
  <c r="E237" i="2"/>
  <c r="H237" i="2"/>
  <c r="B238" i="2"/>
  <c r="D237" i="2"/>
  <c r="A237" i="2"/>
  <c r="G238" i="2" l="1"/>
  <c r="E238" i="2"/>
  <c r="B239" i="2"/>
  <c r="A238" i="2"/>
  <c r="H238" i="2"/>
  <c r="D238" i="2"/>
  <c r="F238" i="2"/>
  <c r="C238" i="2"/>
  <c r="G239" i="2" l="1"/>
  <c r="A239" i="2"/>
  <c r="B240" i="2"/>
  <c r="D239" i="2"/>
  <c r="C239" i="2"/>
  <c r="F239" i="2"/>
  <c r="E239" i="2"/>
  <c r="H239" i="2"/>
  <c r="G240" i="2" l="1"/>
  <c r="I251" i="2"/>
  <c r="E240" i="2"/>
  <c r="I249" i="2"/>
  <c r="D240" i="2"/>
  <c r="I247" i="2"/>
  <c r="F240" i="2"/>
  <c r="H240" i="2"/>
  <c r="C240" i="2"/>
  <c r="B241" i="2"/>
  <c r="I248" i="2"/>
  <c r="I250" i="2"/>
  <c r="A240" i="2"/>
  <c r="H241" i="2" l="1"/>
  <c r="C241" i="2"/>
  <c r="A241" i="2"/>
  <c r="D241" i="2"/>
  <c r="B242" i="2"/>
  <c r="F241" i="2"/>
  <c r="G241" i="2"/>
  <c r="E241" i="2"/>
  <c r="B243" i="2" l="1"/>
  <c r="E242" i="2"/>
  <c r="D242" i="2"/>
  <c r="G242" i="2"/>
  <c r="F242" i="2"/>
  <c r="C242" i="2"/>
  <c r="A242" i="2"/>
  <c r="H242" i="2"/>
  <c r="H243" i="2" l="1"/>
  <c r="A243" i="2"/>
  <c r="G243" i="2"/>
  <c r="F243" i="2"/>
  <c r="E243" i="2"/>
  <c r="C243" i="2"/>
  <c r="D243" i="2"/>
  <c r="B244" i="2"/>
  <c r="B245" i="2" l="1"/>
  <c r="C244" i="2"/>
  <c r="A244" i="2"/>
  <c r="E244" i="2"/>
  <c r="H244" i="2"/>
  <c r="F244" i="2"/>
  <c r="D244" i="2"/>
  <c r="G244" i="2"/>
  <c r="H245" i="2" l="1"/>
  <c r="D245" i="2"/>
  <c r="B246" i="2"/>
  <c r="A245" i="2"/>
  <c r="G245" i="2"/>
  <c r="E245" i="2"/>
  <c r="F245" i="2"/>
  <c r="C245" i="2"/>
  <c r="B247" i="2" l="1"/>
  <c r="G246" i="2"/>
  <c r="D246" i="2"/>
  <c r="F246" i="2"/>
  <c r="H246" i="2"/>
  <c r="C246" i="2"/>
  <c r="A246" i="2"/>
  <c r="E246" i="2"/>
  <c r="H247" i="2" l="1"/>
  <c r="F247" i="2"/>
  <c r="D247" i="2"/>
  <c r="G247" i="2"/>
  <c r="E247" i="2"/>
  <c r="C247" i="2"/>
  <c r="B248" i="2"/>
  <c r="A247" i="2"/>
  <c r="B249" i="2" l="1"/>
  <c r="C248" i="2"/>
  <c r="F248" i="2"/>
  <c r="A248" i="2"/>
  <c r="E248" i="2"/>
  <c r="H248" i="2"/>
  <c r="D248" i="2"/>
  <c r="G248" i="2"/>
  <c r="H249" i="2" l="1"/>
  <c r="C249" i="2"/>
  <c r="B250" i="2"/>
  <c r="A249" i="2"/>
  <c r="E249" i="2"/>
  <c r="D249" i="2"/>
  <c r="F249" i="2"/>
  <c r="G249" i="2"/>
  <c r="B251" i="2" l="1"/>
  <c r="E250" i="2"/>
  <c r="D250" i="2"/>
  <c r="G250" i="2"/>
  <c r="F250" i="2"/>
  <c r="A250" i="2"/>
  <c r="C250" i="2"/>
  <c r="H250" i="2"/>
  <c r="H251" i="2" l="1"/>
  <c r="A251" i="2"/>
  <c r="D251" i="2"/>
  <c r="G251" i="2"/>
  <c r="F251" i="2"/>
  <c r="E251" i="2"/>
  <c r="C251" i="2"/>
  <c r="B252" i="2"/>
  <c r="B253" i="2" l="1"/>
  <c r="H252" i="2"/>
  <c r="A252" i="2"/>
  <c r="F252" i="2"/>
  <c r="C252" i="2"/>
  <c r="I263" i="2"/>
  <c r="I261" i="2"/>
  <c r="G252" i="2"/>
  <c r="I259" i="2"/>
  <c r="E252" i="2"/>
  <c r="I262" i="2"/>
  <c r="I260" i="2"/>
  <c r="D252" i="2"/>
  <c r="A253" i="2" l="1"/>
  <c r="H253" i="2"/>
  <c r="D253" i="2"/>
  <c r="G253" i="2"/>
  <c r="F253" i="2"/>
  <c r="E253" i="2"/>
  <c r="C253" i="2"/>
  <c r="B254" i="2"/>
  <c r="H254" i="2" l="1"/>
  <c r="A254" i="2"/>
  <c r="F254" i="2"/>
  <c r="C254" i="2"/>
  <c r="B255" i="2"/>
  <c r="E254" i="2"/>
  <c r="G254" i="2"/>
  <c r="D254" i="2"/>
  <c r="A255" i="2" l="1"/>
  <c r="B256" i="2"/>
  <c r="H255" i="2"/>
  <c r="C255" i="2"/>
  <c r="F255" i="2"/>
  <c r="D255" i="2"/>
  <c r="G255" i="2"/>
  <c r="E255" i="2"/>
  <c r="H256" i="2" l="1"/>
  <c r="E256" i="2"/>
  <c r="D256" i="2"/>
  <c r="G256" i="2"/>
  <c r="A256" i="2"/>
  <c r="B257" i="2"/>
  <c r="C256" i="2"/>
  <c r="F256" i="2"/>
  <c r="A257" i="2" l="1"/>
  <c r="D257" i="2"/>
  <c r="G257" i="2"/>
  <c r="F257" i="2"/>
  <c r="E257" i="2"/>
  <c r="H257" i="2"/>
  <c r="B258" i="2"/>
  <c r="C257" i="2"/>
  <c r="H258" i="2" l="1"/>
  <c r="G258" i="2"/>
  <c r="F258" i="2"/>
  <c r="C258" i="2"/>
  <c r="B259" i="2"/>
  <c r="A258" i="2"/>
  <c r="D258" i="2"/>
  <c r="E258" i="2"/>
  <c r="A259" i="2" l="1"/>
  <c r="F259" i="2"/>
  <c r="H259" i="2"/>
  <c r="C259" i="2"/>
  <c r="B260" i="2"/>
  <c r="E259" i="2"/>
  <c r="D259" i="2"/>
  <c r="G259" i="2"/>
  <c r="H260" i="2" l="1"/>
  <c r="C260" i="2"/>
  <c r="E260" i="2"/>
  <c r="D260" i="2"/>
  <c r="G260" i="2"/>
  <c r="F260" i="2"/>
  <c r="B261" i="2"/>
  <c r="A260" i="2"/>
  <c r="A261" i="2" l="1"/>
  <c r="H261" i="2"/>
  <c r="D261" i="2"/>
  <c r="G261" i="2"/>
  <c r="F261" i="2"/>
  <c r="C261" i="2"/>
  <c r="E261" i="2"/>
  <c r="B262" i="2"/>
  <c r="H262" i="2" l="1"/>
  <c r="A262" i="2"/>
  <c r="G262" i="2"/>
  <c r="F262" i="2"/>
  <c r="C262" i="2"/>
  <c r="B263" i="2"/>
  <c r="D262" i="2"/>
  <c r="E262" i="2"/>
  <c r="A263" i="2" l="1"/>
  <c r="B264" i="2"/>
  <c r="E263" i="2"/>
  <c r="H263" i="2"/>
  <c r="C263" i="2"/>
  <c r="G263" i="2"/>
  <c r="D263" i="2"/>
  <c r="F263" i="2"/>
  <c r="A264" i="2" l="1"/>
  <c r="E264" i="2"/>
  <c r="I274" i="2"/>
  <c r="I272" i="2"/>
  <c r="I275" i="2"/>
  <c r="D264" i="2"/>
  <c r="I273" i="2"/>
  <c r="B265" i="2"/>
  <c r="I271" i="2"/>
  <c r="H264" i="2"/>
  <c r="F264" i="2"/>
  <c r="C264" i="2"/>
  <c r="G264" i="2"/>
  <c r="B266" i="2" l="1"/>
  <c r="C265" i="2"/>
  <c r="H265" i="2"/>
  <c r="G265" i="2"/>
  <c r="F265" i="2"/>
  <c r="A265" i="2"/>
  <c r="D265" i="2"/>
  <c r="E265" i="2"/>
  <c r="B267" i="2" l="1"/>
  <c r="G266" i="2"/>
  <c r="F266" i="2"/>
  <c r="H266" i="2"/>
  <c r="D266" i="2"/>
  <c r="C266" i="2"/>
  <c r="E266" i="2"/>
  <c r="A266" i="2"/>
  <c r="B268" i="2" l="1"/>
  <c r="F267" i="2"/>
  <c r="C267" i="2"/>
  <c r="E267" i="2"/>
  <c r="H267" i="2"/>
  <c r="G267" i="2"/>
  <c r="D267" i="2"/>
  <c r="A267" i="2"/>
  <c r="B269" i="2" l="1"/>
  <c r="H268" i="2"/>
  <c r="C268" i="2"/>
  <c r="E268" i="2"/>
  <c r="A268" i="2"/>
  <c r="D268" i="2"/>
  <c r="G268" i="2"/>
  <c r="F268" i="2"/>
  <c r="B270" i="2" l="1"/>
  <c r="H269" i="2"/>
  <c r="D269" i="2"/>
  <c r="G269" i="2"/>
  <c r="F269" i="2"/>
  <c r="E269" i="2"/>
  <c r="A269" i="2"/>
  <c r="C269" i="2"/>
  <c r="B271" i="2" l="1"/>
  <c r="C270" i="2"/>
  <c r="G270" i="2"/>
  <c r="F270" i="2"/>
  <c r="H270" i="2"/>
  <c r="E270" i="2"/>
  <c r="A270" i="2"/>
  <c r="D270" i="2"/>
  <c r="B272" i="2" l="1"/>
  <c r="E271" i="2"/>
  <c r="A271" i="2"/>
  <c r="C271" i="2"/>
  <c r="F271" i="2"/>
  <c r="H271" i="2"/>
  <c r="D271" i="2"/>
  <c r="G271" i="2"/>
  <c r="B273" i="2" l="1"/>
  <c r="A272" i="2"/>
  <c r="C272" i="2"/>
  <c r="E272" i="2"/>
  <c r="D272" i="2"/>
  <c r="G272" i="2"/>
  <c r="H272" i="2"/>
  <c r="F272" i="2"/>
  <c r="B274" i="2" l="1"/>
  <c r="D273" i="2"/>
  <c r="E273" i="2"/>
  <c r="H273" i="2"/>
  <c r="G273" i="2"/>
  <c r="F273" i="2"/>
  <c r="C273" i="2"/>
  <c r="A273" i="2"/>
  <c r="B275" i="2" l="1"/>
  <c r="G274" i="2"/>
  <c r="D274" i="2"/>
  <c r="F274" i="2"/>
  <c r="H274" i="2"/>
  <c r="A274" i="2"/>
  <c r="C274" i="2"/>
  <c r="E274" i="2"/>
  <c r="B276" i="2" l="1"/>
  <c r="F275" i="2"/>
  <c r="A275" i="2"/>
  <c r="C275" i="2"/>
  <c r="E275" i="2"/>
  <c r="H275" i="2"/>
  <c r="D275" i="2"/>
  <c r="G275" i="2"/>
  <c r="B277" i="2" l="1"/>
  <c r="I286" i="2"/>
  <c r="D276" i="2"/>
  <c r="F276" i="2"/>
  <c r="C276" i="2"/>
  <c r="I284" i="2"/>
  <c r="E276" i="2"/>
  <c r="H276" i="2"/>
  <c r="I287" i="2"/>
  <c r="G276" i="2"/>
  <c r="A276" i="2"/>
  <c r="I283" i="2"/>
  <c r="I285" i="2"/>
  <c r="G277" i="2" l="1"/>
  <c r="H277" i="2"/>
  <c r="A277" i="2"/>
  <c r="C277" i="2"/>
  <c r="E277" i="2"/>
  <c r="D277" i="2"/>
  <c r="B278" i="2"/>
  <c r="F277" i="2"/>
  <c r="G278" i="2" l="1"/>
  <c r="D278" i="2"/>
  <c r="C278" i="2"/>
  <c r="E278" i="2"/>
  <c r="B279" i="2"/>
  <c r="A278" i="2"/>
  <c r="F278" i="2"/>
  <c r="H278" i="2"/>
  <c r="G279" i="2" l="1"/>
  <c r="F279" i="2"/>
  <c r="E279" i="2"/>
  <c r="B280" i="2"/>
  <c r="H279" i="2"/>
  <c r="D279" i="2"/>
  <c r="C279" i="2"/>
  <c r="A279" i="2"/>
  <c r="G280" i="2" l="1"/>
  <c r="H280" i="2"/>
  <c r="A280" i="2"/>
  <c r="D280" i="2"/>
  <c r="F280" i="2"/>
  <c r="C280" i="2"/>
  <c r="E280" i="2"/>
  <c r="B281" i="2"/>
  <c r="G281" i="2" l="1"/>
  <c r="F281" i="2"/>
  <c r="A281" i="2"/>
  <c r="C281" i="2"/>
  <c r="D281" i="2"/>
  <c r="B282" i="2"/>
  <c r="E281" i="2"/>
  <c r="H281" i="2"/>
  <c r="G282" i="2" l="1"/>
  <c r="C282" i="2"/>
  <c r="E282" i="2"/>
  <c r="B283" i="2"/>
  <c r="A282" i="2"/>
  <c r="F282" i="2"/>
  <c r="D282" i="2"/>
  <c r="H282" i="2"/>
  <c r="G283" i="2" l="1"/>
  <c r="E283" i="2"/>
  <c r="C283" i="2"/>
  <c r="B284" i="2"/>
  <c r="H283" i="2"/>
  <c r="D283" i="2"/>
  <c r="A283" i="2"/>
  <c r="F283" i="2"/>
  <c r="G284" i="2" l="1"/>
  <c r="B285" i="2"/>
  <c r="A284" i="2"/>
  <c r="D284" i="2"/>
  <c r="F284" i="2"/>
  <c r="H284" i="2"/>
  <c r="E284" i="2"/>
  <c r="C284" i="2"/>
  <c r="G285" i="2" l="1"/>
  <c r="H285" i="2"/>
  <c r="F285" i="2"/>
  <c r="A285" i="2"/>
  <c r="C285" i="2"/>
  <c r="E285" i="2"/>
  <c r="B286" i="2"/>
  <c r="D285" i="2"/>
  <c r="G286" i="2" l="1"/>
  <c r="D286" i="2"/>
  <c r="C286" i="2"/>
  <c r="E286" i="2"/>
  <c r="H286" i="2"/>
  <c r="B287" i="2"/>
  <c r="A286" i="2"/>
  <c r="F286" i="2"/>
  <c r="G287" i="2" l="1"/>
  <c r="F287" i="2"/>
  <c r="C287" i="2"/>
  <c r="E287" i="2"/>
  <c r="B288" i="2"/>
  <c r="H287" i="2"/>
  <c r="D287" i="2"/>
  <c r="A287" i="2"/>
  <c r="A288" i="2" l="1"/>
  <c r="G288" i="2"/>
  <c r="B289" i="2"/>
  <c r="H288" i="2"/>
  <c r="I298" i="2"/>
  <c r="I296" i="2"/>
  <c r="D288" i="2"/>
  <c r="I295" i="2"/>
  <c r="C288" i="2"/>
  <c r="E288" i="2"/>
  <c r="F288" i="2"/>
  <c r="I297" i="2"/>
  <c r="I299" i="2"/>
  <c r="B290" i="2" l="1"/>
  <c r="C289" i="2"/>
  <c r="E289" i="2"/>
  <c r="H289" i="2"/>
  <c r="D289" i="2"/>
  <c r="G289" i="2"/>
  <c r="F289" i="2"/>
  <c r="A289" i="2"/>
  <c r="B291" i="2" l="1"/>
  <c r="C290" i="2"/>
  <c r="E290" i="2"/>
  <c r="A290" i="2"/>
  <c r="D290" i="2"/>
  <c r="G290" i="2"/>
  <c r="F290" i="2"/>
  <c r="H290" i="2"/>
  <c r="B292" i="2" l="1"/>
  <c r="E291" i="2"/>
  <c r="H291" i="2"/>
  <c r="D291" i="2"/>
  <c r="G291" i="2"/>
  <c r="C291" i="2"/>
  <c r="F291" i="2"/>
  <c r="A291" i="2"/>
  <c r="B293" i="2" l="1"/>
  <c r="A292" i="2"/>
  <c r="D292" i="2"/>
  <c r="G292" i="2"/>
  <c r="F292" i="2"/>
  <c r="C292" i="2"/>
  <c r="E292" i="2"/>
  <c r="H292" i="2"/>
  <c r="B294" i="2" l="1"/>
  <c r="D293" i="2"/>
  <c r="G293" i="2"/>
  <c r="F293" i="2"/>
  <c r="A293" i="2"/>
  <c r="H293" i="2"/>
  <c r="E293" i="2"/>
  <c r="C293" i="2"/>
  <c r="B295" i="2" l="1"/>
  <c r="G294" i="2"/>
  <c r="F294" i="2"/>
  <c r="H294" i="2"/>
  <c r="C294" i="2"/>
  <c r="E294" i="2"/>
  <c r="A294" i="2"/>
  <c r="D294" i="2"/>
  <c r="B296" i="2" l="1"/>
  <c r="F295" i="2"/>
  <c r="A295" i="2"/>
  <c r="C295" i="2"/>
  <c r="G295" i="2"/>
  <c r="D295" i="2"/>
  <c r="H295" i="2"/>
  <c r="E295" i="2"/>
  <c r="B297" i="2" l="1"/>
  <c r="H296" i="2"/>
  <c r="C296" i="2"/>
  <c r="E296" i="2"/>
  <c r="A296" i="2"/>
  <c r="G296" i="2"/>
  <c r="D296" i="2"/>
  <c r="F296" i="2"/>
  <c r="B298" i="2" l="1"/>
  <c r="C297" i="2"/>
  <c r="E297" i="2"/>
  <c r="F297" i="2"/>
  <c r="A297" i="2"/>
  <c r="H297" i="2"/>
  <c r="D297" i="2"/>
  <c r="G297" i="2"/>
  <c r="B299" i="2" l="1"/>
  <c r="C298" i="2"/>
  <c r="E298" i="2"/>
  <c r="A298" i="2"/>
  <c r="D298" i="2"/>
  <c r="G298" i="2"/>
  <c r="F298" i="2"/>
  <c r="H298" i="2"/>
  <c r="B300" i="2" l="1"/>
  <c r="E299" i="2"/>
  <c r="H299" i="2"/>
  <c r="D299" i="2"/>
  <c r="F299" i="2"/>
  <c r="A299" i="2"/>
  <c r="C299" i="2"/>
  <c r="G299" i="2"/>
  <c r="B301" i="2" l="1"/>
  <c r="I310" i="2"/>
  <c r="I311" i="2"/>
  <c r="H300" i="2"/>
  <c r="I309" i="2"/>
  <c r="I307" i="2"/>
  <c r="I308" i="2"/>
  <c r="E300" i="2"/>
  <c r="C300" i="2"/>
  <c r="A300" i="2"/>
  <c r="G300" i="2"/>
  <c r="D300" i="2"/>
  <c r="F300" i="2"/>
  <c r="G301" i="2" l="1"/>
  <c r="C301" i="2"/>
  <c r="E301" i="2"/>
  <c r="B302" i="2"/>
  <c r="H301" i="2"/>
  <c r="D301" i="2"/>
  <c r="F301" i="2"/>
  <c r="A301" i="2"/>
  <c r="G302" i="2" l="1"/>
  <c r="C302" i="2"/>
  <c r="E302" i="2"/>
  <c r="B303" i="2"/>
  <c r="F302" i="2"/>
  <c r="H302" i="2"/>
  <c r="A302" i="2"/>
  <c r="D302" i="2"/>
  <c r="G303" i="2" l="1"/>
  <c r="E303" i="2"/>
  <c r="B304" i="2"/>
  <c r="H303" i="2"/>
  <c r="D303" i="2"/>
  <c r="C303" i="2"/>
  <c r="F303" i="2"/>
  <c r="A303" i="2"/>
  <c r="G304" i="2" l="1"/>
  <c r="B305" i="2"/>
  <c r="A304" i="2"/>
  <c r="D304" i="2"/>
  <c r="F304" i="2"/>
  <c r="H304" i="2"/>
  <c r="C304" i="2"/>
  <c r="E304" i="2"/>
  <c r="G305" i="2" l="1"/>
  <c r="H305" i="2"/>
  <c r="D305" i="2"/>
  <c r="F305" i="2"/>
  <c r="C305" i="2"/>
  <c r="E305" i="2"/>
  <c r="B306" i="2"/>
  <c r="A305" i="2"/>
  <c r="G306" i="2" l="1"/>
  <c r="D306" i="2"/>
  <c r="F306" i="2"/>
  <c r="H306" i="2"/>
  <c r="B307" i="2"/>
  <c r="A306" i="2"/>
  <c r="C306" i="2"/>
  <c r="E306" i="2"/>
  <c r="G307" i="2" l="1"/>
  <c r="F307" i="2"/>
  <c r="A307" i="2"/>
  <c r="E307" i="2"/>
  <c r="C307" i="2"/>
  <c r="B308" i="2"/>
  <c r="H307" i="2"/>
  <c r="D307" i="2"/>
  <c r="G308" i="2" l="1"/>
  <c r="H308" i="2"/>
  <c r="C308" i="2"/>
  <c r="B309" i="2"/>
  <c r="A308" i="2"/>
  <c r="D308" i="2"/>
  <c r="F308" i="2"/>
  <c r="E308" i="2"/>
  <c r="G309" i="2" l="1"/>
  <c r="C309" i="2"/>
  <c r="E309" i="2"/>
  <c r="A309" i="2"/>
  <c r="B310" i="2"/>
  <c r="F309" i="2"/>
  <c r="D309" i="2"/>
  <c r="H309" i="2"/>
  <c r="G310" i="2" l="1"/>
  <c r="C310" i="2"/>
  <c r="E310" i="2"/>
  <c r="B311" i="2"/>
  <c r="A310" i="2"/>
  <c r="F310" i="2"/>
  <c r="D310" i="2"/>
  <c r="H310" i="2"/>
  <c r="G311" i="2" l="1"/>
  <c r="E311" i="2"/>
  <c r="B312" i="2"/>
  <c r="H311" i="2"/>
  <c r="A311" i="2"/>
  <c r="C311" i="2"/>
  <c r="D311" i="2"/>
  <c r="F311" i="2"/>
  <c r="A312" i="2" l="1"/>
  <c r="B313" i="2"/>
  <c r="I319" i="2"/>
  <c r="I322" i="2"/>
  <c r="H312" i="2"/>
  <c r="I320" i="2"/>
  <c r="C312" i="2"/>
  <c r="E312" i="2"/>
  <c r="D312" i="2"/>
  <c r="G312" i="2"/>
  <c r="I323" i="2"/>
  <c r="F312" i="2"/>
  <c r="I321" i="2"/>
  <c r="C313" i="2" l="1"/>
  <c r="A313" i="2"/>
  <c r="E313" i="2"/>
  <c r="B314" i="2"/>
  <c r="H313" i="2"/>
  <c r="G313" i="2"/>
  <c r="D313" i="2"/>
  <c r="F313" i="2"/>
  <c r="C314" i="2" l="1"/>
  <c r="E314" i="2"/>
  <c r="B315" i="2"/>
  <c r="F314" i="2"/>
  <c r="H314" i="2"/>
  <c r="D314" i="2"/>
  <c r="G314" i="2"/>
  <c r="A314" i="2"/>
  <c r="C315" i="2" l="1"/>
  <c r="E315" i="2"/>
  <c r="B316" i="2"/>
  <c r="H315" i="2"/>
  <c r="D315" i="2"/>
  <c r="G315" i="2"/>
  <c r="F315" i="2"/>
  <c r="A315" i="2"/>
  <c r="C316" i="2" l="1"/>
  <c r="B317" i="2"/>
  <c r="A316" i="2"/>
  <c r="D316" i="2"/>
  <c r="F316" i="2"/>
  <c r="H316" i="2"/>
  <c r="E316" i="2"/>
  <c r="G316" i="2"/>
  <c r="C317" i="2" l="1"/>
  <c r="H317" i="2"/>
  <c r="D317" i="2"/>
  <c r="G317" i="2"/>
  <c r="B318" i="2"/>
  <c r="E317" i="2"/>
  <c r="F317" i="2"/>
  <c r="A317" i="2"/>
  <c r="C318" i="2" l="1"/>
  <c r="D318" i="2"/>
  <c r="G318" i="2"/>
  <c r="F318" i="2"/>
  <c r="A318" i="2"/>
  <c r="H318" i="2"/>
  <c r="E318" i="2"/>
  <c r="B319" i="2"/>
  <c r="C319" i="2" l="1"/>
  <c r="G319" i="2"/>
  <c r="F319" i="2"/>
  <c r="A319" i="2"/>
  <c r="E319" i="2"/>
  <c r="B320" i="2"/>
  <c r="H319" i="2"/>
  <c r="D319" i="2"/>
  <c r="C320" i="2" l="1"/>
  <c r="F320" i="2"/>
  <c r="H320" i="2"/>
  <c r="A320" i="2"/>
  <c r="D320" i="2"/>
  <c r="G320" i="2"/>
  <c r="E320" i="2"/>
  <c r="B321" i="2"/>
  <c r="C321" i="2" l="1"/>
  <c r="A321" i="2"/>
  <c r="E321" i="2"/>
  <c r="B322" i="2"/>
  <c r="H321" i="2"/>
  <c r="F321" i="2"/>
  <c r="D321" i="2"/>
  <c r="G321" i="2"/>
  <c r="C322" i="2" l="1"/>
  <c r="E322" i="2"/>
  <c r="B323" i="2"/>
  <c r="A322" i="2"/>
  <c r="D322" i="2"/>
  <c r="G322" i="2"/>
  <c r="F322" i="2"/>
  <c r="H322" i="2"/>
  <c r="C323" i="2" l="1"/>
  <c r="E323" i="2"/>
  <c r="B324" i="2"/>
  <c r="F323" i="2"/>
  <c r="A323" i="2"/>
  <c r="G323" i="2"/>
  <c r="D323" i="2"/>
  <c r="H323" i="2"/>
  <c r="C324" i="2" l="1"/>
  <c r="G324" i="2"/>
  <c r="B325" i="2"/>
  <c r="I332" i="2"/>
  <c r="I335" i="2"/>
  <c r="H324" i="2"/>
  <c r="I334" i="2"/>
  <c r="I333" i="2"/>
  <c r="E324" i="2"/>
  <c r="I331" i="2"/>
  <c r="A324" i="2"/>
  <c r="D324" i="2"/>
  <c r="F324" i="2"/>
  <c r="H325" i="2" l="1"/>
  <c r="A325" i="2"/>
  <c r="C325" i="2"/>
  <c r="E325" i="2"/>
  <c r="B326" i="2"/>
  <c r="D325" i="2"/>
  <c r="F325" i="2"/>
  <c r="G325" i="2"/>
  <c r="A326" i="2" l="1"/>
  <c r="C326" i="2"/>
  <c r="B327" i="2"/>
  <c r="D326" i="2"/>
  <c r="F326" i="2"/>
  <c r="G326" i="2"/>
  <c r="H326" i="2"/>
  <c r="E326" i="2"/>
  <c r="H327" i="2" l="1"/>
  <c r="C327" i="2"/>
  <c r="E327" i="2"/>
  <c r="F327" i="2"/>
  <c r="A327" i="2"/>
  <c r="D327" i="2"/>
  <c r="G327" i="2"/>
  <c r="B328" i="2"/>
  <c r="A328" i="2" l="1"/>
  <c r="E328" i="2"/>
  <c r="B329" i="2"/>
  <c r="C328" i="2"/>
  <c r="D328" i="2"/>
  <c r="G328" i="2"/>
  <c r="F328" i="2"/>
  <c r="H328" i="2"/>
  <c r="H329" i="2" l="1"/>
  <c r="B330" i="2"/>
  <c r="D329" i="2"/>
  <c r="E329" i="2"/>
  <c r="G329" i="2"/>
  <c r="A329" i="2"/>
  <c r="F329" i="2"/>
  <c r="C329" i="2"/>
  <c r="A330" i="2" l="1"/>
  <c r="D330" i="2"/>
  <c r="G330" i="2"/>
  <c r="H330" i="2"/>
  <c r="C330" i="2"/>
  <c r="E330" i="2"/>
  <c r="F330" i="2"/>
  <c r="B331" i="2"/>
  <c r="H331" i="2" l="1"/>
  <c r="G331" i="2"/>
  <c r="F331" i="2"/>
  <c r="C331" i="2"/>
  <c r="E331" i="2"/>
  <c r="B332" i="2"/>
  <c r="D331" i="2"/>
  <c r="A331" i="2"/>
  <c r="A332" i="2" l="1"/>
  <c r="F332" i="2"/>
  <c r="H332" i="2"/>
  <c r="B333" i="2"/>
  <c r="D332" i="2"/>
  <c r="G332" i="2"/>
  <c r="C332" i="2"/>
  <c r="E332" i="2"/>
  <c r="H333" i="2" l="1"/>
  <c r="A333" i="2"/>
  <c r="F333" i="2"/>
  <c r="C333" i="2"/>
  <c r="E333" i="2"/>
  <c r="G333" i="2"/>
  <c r="B334" i="2"/>
  <c r="D333" i="2"/>
  <c r="A334" i="2" l="1"/>
  <c r="C334" i="2"/>
  <c r="E334" i="2"/>
  <c r="B335" i="2"/>
  <c r="D334" i="2"/>
  <c r="G334" i="2"/>
  <c r="H334" i="2"/>
  <c r="F334" i="2"/>
  <c r="H335" i="2" l="1"/>
  <c r="C335" i="2"/>
  <c r="E335" i="2"/>
  <c r="D335" i="2"/>
  <c r="G335" i="2"/>
  <c r="A335" i="2"/>
  <c r="F335" i="2"/>
  <c r="B336" i="2"/>
  <c r="I346" i="2" l="1"/>
  <c r="I343" i="2"/>
  <c r="E336" i="2"/>
  <c r="I345" i="2"/>
  <c r="B337" i="2"/>
  <c r="H336" i="2"/>
  <c r="G336" i="2"/>
  <c r="F336" i="2"/>
  <c r="I347" i="2"/>
  <c r="C336" i="2"/>
  <c r="I344" i="2"/>
  <c r="A336" i="2"/>
  <c r="D336" i="2"/>
  <c r="F337" i="2" l="1"/>
  <c r="A337" i="2"/>
  <c r="G337" i="2"/>
  <c r="C337" i="2"/>
  <c r="E337" i="2"/>
  <c r="D337" i="2"/>
  <c r="H337" i="2"/>
  <c r="B338" i="2"/>
  <c r="F338" i="2" l="1"/>
  <c r="C338" i="2"/>
  <c r="E338" i="2"/>
  <c r="A338" i="2"/>
  <c r="B339" i="2"/>
  <c r="D338" i="2"/>
  <c r="H338" i="2"/>
  <c r="G338" i="2"/>
  <c r="F339" i="2" l="1"/>
  <c r="C339" i="2"/>
  <c r="E339" i="2"/>
  <c r="H339" i="2"/>
  <c r="D339" i="2"/>
  <c r="G339" i="2"/>
  <c r="A339" i="2"/>
  <c r="B340" i="2"/>
  <c r="F340" i="2" l="1"/>
  <c r="E340" i="2"/>
  <c r="B341" i="2"/>
  <c r="H340" i="2"/>
  <c r="C340" i="2"/>
  <c r="A340" i="2"/>
  <c r="D340" i="2"/>
  <c r="G340" i="2"/>
  <c r="F341" i="2" l="1"/>
  <c r="B342" i="2"/>
  <c r="H341" i="2"/>
  <c r="C341" i="2"/>
  <c r="D341" i="2"/>
  <c r="E341" i="2"/>
  <c r="G341" i="2"/>
  <c r="A341" i="2"/>
  <c r="F342" i="2" l="1"/>
  <c r="D342" i="2"/>
  <c r="B343" i="2"/>
  <c r="A342" i="2"/>
  <c r="G342" i="2"/>
  <c r="H342" i="2"/>
  <c r="E342" i="2"/>
  <c r="C342" i="2"/>
  <c r="F343" i="2" l="1"/>
  <c r="G343" i="2"/>
  <c r="D343" i="2"/>
  <c r="A343" i="2"/>
  <c r="C343" i="2"/>
  <c r="E343" i="2"/>
  <c r="B344" i="2"/>
  <c r="H343" i="2"/>
  <c r="F344" i="2" l="1"/>
  <c r="H344" i="2"/>
  <c r="E344" i="2"/>
  <c r="C344" i="2"/>
  <c r="B345" i="2"/>
  <c r="A344" i="2"/>
  <c r="G344" i="2"/>
  <c r="D344" i="2"/>
  <c r="F345" i="2" l="1"/>
  <c r="C345" i="2"/>
  <c r="E345" i="2"/>
  <c r="B346" i="2"/>
  <c r="H345" i="2"/>
  <c r="D345" i="2"/>
  <c r="A345" i="2"/>
  <c r="G345" i="2"/>
  <c r="F346" i="2" l="1"/>
  <c r="C346" i="2"/>
  <c r="B347" i="2"/>
  <c r="A346" i="2"/>
  <c r="G346" i="2"/>
  <c r="D346" i="2"/>
  <c r="H346" i="2"/>
  <c r="E346" i="2"/>
  <c r="F347" i="2" l="1"/>
  <c r="E347" i="2"/>
  <c r="D347" i="2"/>
  <c r="G347" i="2"/>
  <c r="A347" i="2"/>
  <c r="C347" i="2"/>
  <c r="B348" i="2"/>
  <c r="H347" i="2"/>
  <c r="A348" i="2" l="1"/>
  <c r="B349" i="2"/>
  <c r="I356" i="2"/>
  <c r="D348" i="2"/>
  <c r="G348" i="2"/>
  <c r="I358" i="2"/>
  <c r="F348" i="2"/>
  <c r="C348" i="2"/>
  <c r="E348" i="2"/>
  <c r="H348" i="2"/>
  <c r="I355" i="2"/>
  <c r="I357" i="2"/>
  <c r="I359" i="2"/>
  <c r="E349" i="2" l="1"/>
  <c r="A349" i="2"/>
  <c r="D349" i="2"/>
  <c r="G349" i="2"/>
  <c r="F349" i="2"/>
  <c r="B350" i="2"/>
  <c r="H349" i="2"/>
  <c r="C349" i="2"/>
  <c r="E350" i="2" l="1"/>
  <c r="F350" i="2"/>
  <c r="H350" i="2"/>
  <c r="C350" i="2"/>
  <c r="B351" i="2"/>
  <c r="A350" i="2"/>
  <c r="D350" i="2"/>
  <c r="G350" i="2"/>
  <c r="E351" i="2" l="1"/>
  <c r="C351" i="2"/>
  <c r="H351" i="2"/>
  <c r="B352" i="2"/>
  <c r="D351" i="2"/>
  <c r="F351" i="2"/>
  <c r="A351" i="2"/>
  <c r="G351" i="2"/>
  <c r="E352" i="2" l="1"/>
  <c r="B353" i="2"/>
  <c r="C352" i="2"/>
  <c r="A352" i="2"/>
  <c r="D352" i="2"/>
  <c r="G352" i="2"/>
  <c r="F352" i="2"/>
  <c r="H352" i="2"/>
  <c r="E353" i="2" l="1"/>
  <c r="H353" i="2"/>
  <c r="D353" i="2"/>
  <c r="G353" i="2"/>
  <c r="A353" i="2"/>
  <c r="F353" i="2"/>
  <c r="C353" i="2"/>
  <c r="B354" i="2"/>
  <c r="E354" i="2" l="1"/>
  <c r="D354" i="2"/>
  <c r="F354" i="2"/>
  <c r="H354" i="2"/>
  <c r="C354" i="2"/>
  <c r="G354" i="2"/>
  <c r="B355" i="2"/>
  <c r="A354" i="2"/>
  <c r="E355" i="2" l="1"/>
  <c r="G355" i="2"/>
  <c r="C355" i="2"/>
  <c r="B356" i="2"/>
  <c r="H355" i="2"/>
  <c r="A355" i="2"/>
  <c r="F355" i="2"/>
  <c r="D355" i="2"/>
  <c r="E356" i="2" l="1"/>
  <c r="F356" i="2"/>
  <c r="C356" i="2"/>
  <c r="B357" i="2"/>
  <c r="D356" i="2"/>
  <c r="A356" i="2"/>
  <c r="G356" i="2"/>
  <c r="H356" i="2"/>
  <c r="E357" i="2" l="1"/>
  <c r="A357" i="2"/>
  <c r="H357" i="2"/>
  <c r="D357" i="2"/>
  <c r="F357" i="2"/>
  <c r="G357" i="2"/>
  <c r="B358" i="2"/>
  <c r="C357" i="2"/>
  <c r="E358" i="2" l="1"/>
  <c r="G358" i="2"/>
  <c r="F358" i="2"/>
  <c r="H358" i="2"/>
  <c r="C358" i="2"/>
  <c r="A358" i="2"/>
  <c r="D358" i="2"/>
  <c r="B359" i="2"/>
  <c r="E359" i="2" l="1"/>
  <c r="C359" i="2"/>
  <c r="A359" i="2"/>
  <c r="B360" i="2"/>
  <c r="H359" i="2"/>
  <c r="G359" i="2"/>
  <c r="F359" i="2"/>
  <c r="D359" i="2"/>
  <c r="E360" i="2" l="1"/>
  <c r="I371" i="2"/>
  <c r="B361" i="2"/>
  <c r="I367" i="2"/>
  <c r="I369" i="2"/>
  <c r="C360" i="2"/>
  <c r="H360" i="2"/>
  <c r="I370" i="2"/>
  <c r="I368" i="2"/>
  <c r="A360" i="2"/>
  <c r="D360" i="2"/>
  <c r="G360" i="2"/>
  <c r="F360" i="2"/>
  <c r="D361" i="2" l="1"/>
  <c r="A361" i="2"/>
  <c r="C361" i="2"/>
  <c r="B362" i="2"/>
  <c r="F361" i="2"/>
  <c r="H361" i="2"/>
  <c r="E361" i="2"/>
  <c r="G361" i="2"/>
  <c r="D362" i="2" l="1"/>
  <c r="C362" i="2"/>
  <c r="E362" i="2"/>
  <c r="A362" i="2"/>
  <c r="B363" i="2"/>
  <c r="G362" i="2"/>
  <c r="F362" i="2"/>
  <c r="H362" i="2"/>
  <c r="D363" i="2" l="1"/>
  <c r="C363" i="2"/>
  <c r="B364" i="2"/>
  <c r="H363" i="2"/>
  <c r="G363" i="2"/>
  <c r="F363" i="2"/>
  <c r="A363" i="2"/>
  <c r="E363" i="2"/>
  <c r="D364" i="2" l="1"/>
  <c r="E364" i="2"/>
  <c r="G364" i="2"/>
  <c r="F364" i="2"/>
  <c r="H364" i="2"/>
  <c r="B365" i="2"/>
  <c r="C364" i="2"/>
  <c r="A364" i="2"/>
  <c r="D365" i="2" l="1"/>
  <c r="B366" i="2"/>
  <c r="A365" i="2"/>
  <c r="C365" i="2"/>
  <c r="E365" i="2"/>
  <c r="G365" i="2"/>
  <c r="F365" i="2"/>
  <c r="H365" i="2"/>
  <c r="D366" i="2" l="1"/>
  <c r="C366" i="2"/>
  <c r="E366" i="2"/>
  <c r="B367" i="2"/>
  <c r="A366" i="2"/>
  <c r="F366" i="2"/>
  <c r="G366" i="2"/>
  <c r="H366" i="2"/>
  <c r="D367" i="2" l="1"/>
  <c r="C367" i="2"/>
  <c r="E367" i="2"/>
  <c r="H367" i="2"/>
  <c r="B368" i="2"/>
  <c r="G367" i="2"/>
  <c r="A367" i="2"/>
  <c r="F367" i="2"/>
  <c r="D368" i="2" l="1"/>
  <c r="E368" i="2"/>
  <c r="B369" i="2"/>
  <c r="A368" i="2"/>
  <c r="G368" i="2"/>
  <c r="F368" i="2"/>
  <c r="H368" i="2"/>
  <c r="C368" i="2"/>
  <c r="D369" i="2" l="1"/>
  <c r="B370" i="2"/>
  <c r="H369" i="2"/>
  <c r="F369" i="2"/>
  <c r="G369" i="2"/>
  <c r="A369" i="2"/>
  <c r="C369" i="2"/>
  <c r="E369" i="2"/>
  <c r="D370" i="2" l="1"/>
  <c r="A370" i="2"/>
  <c r="G370" i="2"/>
  <c r="F370" i="2"/>
  <c r="H370" i="2"/>
  <c r="B371" i="2"/>
  <c r="C370" i="2"/>
  <c r="E370" i="2"/>
  <c r="H371" i="2" l="1"/>
  <c r="D371" i="2"/>
  <c r="G371" i="2"/>
  <c r="A371" i="2"/>
  <c r="C371" i="2"/>
  <c r="F371" i="2"/>
  <c r="B372" i="2"/>
  <c r="E371" i="2"/>
  <c r="I379" i="2" l="1"/>
  <c r="H372" i="2"/>
  <c r="I383" i="2"/>
  <c r="C372" i="2"/>
  <c r="D372" i="2"/>
  <c r="E372" i="2"/>
  <c r="B373" i="2"/>
  <c r="G372" i="2"/>
  <c r="I382" i="2"/>
  <c r="A372" i="2"/>
  <c r="F372" i="2"/>
  <c r="I381" i="2"/>
  <c r="I380" i="2"/>
  <c r="F373" i="2" l="1"/>
  <c r="H373" i="2"/>
  <c r="E373" i="2"/>
  <c r="C373" i="2"/>
  <c r="B374" i="2"/>
  <c r="D373" i="2"/>
  <c r="A373" i="2"/>
  <c r="G373" i="2"/>
  <c r="F374" i="2" l="1"/>
  <c r="A374" i="2"/>
  <c r="C374" i="2"/>
  <c r="E374" i="2"/>
  <c r="B375" i="2"/>
  <c r="D374" i="2"/>
  <c r="G374" i="2"/>
  <c r="H374" i="2"/>
  <c r="F375" i="2" l="1"/>
  <c r="H375" i="2"/>
  <c r="E375" i="2"/>
  <c r="C375" i="2"/>
  <c r="B376" i="2"/>
  <c r="D375" i="2"/>
  <c r="A375" i="2"/>
  <c r="G375" i="2"/>
  <c r="F376" i="2" l="1"/>
  <c r="A376" i="2"/>
  <c r="C376" i="2"/>
  <c r="E376" i="2"/>
  <c r="B377" i="2"/>
  <c r="H376" i="2"/>
  <c r="D376" i="2"/>
  <c r="G376" i="2"/>
  <c r="F377" i="2" l="1"/>
  <c r="H377" i="2"/>
  <c r="E377" i="2"/>
  <c r="C377" i="2"/>
  <c r="B378" i="2"/>
  <c r="D377" i="2"/>
  <c r="A377" i="2"/>
  <c r="G377" i="2"/>
  <c r="F378" i="2" l="1"/>
  <c r="A378" i="2"/>
  <c r="C378" i="2"/>
  <c r="E378" i="2"/>
  <c r="B379" i="2"/>
  <c r="G378" i="2"/>
  <c r="H378" i="2"/>
  <c r="D378" i="2"/>
  <c r="F379" i="2" l="1"/>
  <c r="H379" i="2"/>
  <c r="E379" i="2"/>
  <c r="C379" i="2"/>
  <c r="B380" i="2"/>
  <c r="G379" i="2"/>
  <c r="D379" i="2"/>
  <c r="A379" i="2"/>
  <c r="F380" i="2" l="1"/>
  <c r="A380" i="2"/>
  <c r="C380" i="2"/>
  <c r="E380" i="2"/>
  <c r="B381" i="2"/>
  <c r="D380" i="2"/>
  <c r="G380" i="2"/>
  <c r="H380" i="2"/>
  <c r="F381" i="2" l="1"/>
  <c r="H381" i="2"/>
  <c r="E381" i="2"/>
  <c r="C381" i="2"/>
  <c r="B382" i="2"/>
  <c r="A381" i="2"/>
  <c r="G381" i="2"/>
  <c r="D381" i="2"/>
  <c r="A382" i="2" l="1"/>
  <c r="C382" i="2"/>
  <c r="B383" i="2"/>
  <c r="E382" i="2"/>
  <c r="F382" i="2"/>
  <c r="D382" i="2"/>
  <c r="G382" i="2"/>
  <c r="H382" i="2"/>
  <c r="F383" i="2" l="1"/>
  <c r="C383" i="2"/>
  <c r="H383" i="2"/>
  <c r="G383" i="2"/>
  <c r="A383" i="2"/>
  <c r="D383" i="2"/>
  <c r="E38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 May</author>
  </authors>
  <commentList>
    <comment ref="C7" authorId="0" shapeId="0" xr:uid="{00000000-0006-0000-0D00-000001000000}">
      <text>
        <r>
          <rPr>
            <sz val="14"/>
            <color indexed="81"/>
            <rFont val="Tahoma"/>
            <family val="2"/>
          </rPr>
          <t xml:space="preserve">Enter number as exact as possible for the </t>
        </r>
        <r>
          <rPr>
            <b/>
            <u/>
            <sz val="14"/>
            <color indexed="81"/>
            <rFont val="Tahoma"/>
            <family val="2"/>
          </rPr>
          <t>X</t>
        </r>
        <r>
          <rPr>
            <sz val="14"/>
            <color indexed="81"/>
            <rFont val="Tahoma"/>
            <family val="2"/>
          </rPr>
          <t xml:space="preserve"> coordinate.
It will be rounded according to your setting in the Precision  area.</t>
        </r>
      </text>
    </comment>
    <comment ref="C8" authorId="0" shapeId="0" xr:uid="{00000000-0006-0000-0D00-000002000000}">
      <text>
        <r>
          <rPr>
            <sz val="14"/>
            <color indexed="81"/>
            <rFont val="Tahoma"/>
            <family val="2"/>
          </rPr>
          <t xml:space="preserve">Enter number as exact as possible for the </t>
        </r>
        <r>
          <rPr>
            <b/>
            <u/>
            <sz val="14"/>
            <color indexed="81"/>
            <rFont val="Tahoma"/>
            <family val="2"/>
          </rPr>
          <t>Y</t>
        </r>
        <r>
          <rPr>
            <sz val="14"/>
            <color indexed="81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 shapeId="0" xr:uid="{00000000-0006-0000-0D00-000003000000}">
      <text>
        <r>
          <rPr>
            <sz val="16"/>
            <color indexed="81"/>
            <rFont val="Tahoma"/>
            <family val="2"/>
          </rPr>
          <t>If you want holes calculated in a Counter Clockwise rotation, enter a NEGATIVE # of holes.
Maximum # of holes is 100.</t>
        </r>
      </text>
    </comment>
    <comment ref="C13" authorId="0" shapeId="0" xr:uid="{00000000-0006-0000-0D00-000004000000}">
      <text>
        <r>
          <rPr>
            <sz val="16"/>
            <color indexed="81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/>
            <sz val="16"/>
            <color indexed="81"/>
            <rFont val="Tahoma"/>
            <family val="2"/>
          </rPr>
          <t>X</t>
        </r>
        <r>
          <rPr>
            <sz val="16"/>
            <color indexed="81"/>
            <rFont val="Tahoma"/>
            <family val="2"/>
          </rPr>
          <t xml:space="preserve"> &amp; </t>
        </r>
        <r>
          <rPr>
            <b/>
            <u/>
            <sz val="16"/>
            <color indexed="81"/>
            <rFont val="Tahoma"/>
            <family val="2"/>
          </rPr>
          <t>Y</t>
        </r>
        <r>
          <rPr>
            <sz val="16"/>
            <color indexed="81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/>
            <sz val="16"/>
            <color indexed="81"/>
            <rFont val="Tahoma"/>
            <family val="2"/>
          </rPr>
          <t>X</t>
        </r>
        <r>
          <rPr>
            <sz val="16"/>
            <color indexed="81"/>
            <rFont val="Tahoma"/>
            <family val="2"/>
          </rPr>
          <t xml:space="preserve"> value of the bolt circle center.
All calculated values will be absolute.</t>
        </r>
      </text>
    </comment>
    <comment ref="C14" authorId="0" shapeId="0" xr:uid="{00000000-0006-0000-0D00-000005000000}">
      <text>
        <r>
          <rPr>
            <sz val="16"/>
            <color indexed="81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/>
            <sz val="16"/>
            <color indexed="81"/>
            <rFont val="Tahoma"/>
            <family val="2"/>
          </rPr>
          <t>X</t>
        </r>
        <r>
          <rPr>
            <sz val="16"/>
            <color indexed="81"/>
            <rFont val="Tahoma"/>
            <family val="2"/>
          </rPr>
          <t xml:space="preserve"> &amp; </t>
        </r>
        <r>
          <rPr>
            <b/>
            <u/>
            <sz val="16"/>
            <color indexed="81"/>
            <rFont val="Tahoma"/>
            <family val="2"/>
          </rPr>
          <t>Y</t>
        </r>
        <r>
          <rPr>
            <sz val="16"/>
            <color indexed="81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/>
            <sz val="16"/>
            <color indexed="81"/>
            <rFont val="Tahoma"/>
            <family val="2"/>
          </rPr>
          <t>Y</t>
        </r>
        <r>
          <rPr>
            <sz val="16"/>
            <color indexed="81"/>
            <rFont val="Tahoma"/>
            <family val="2"/>
          </rPr>
          <t xml:space="preserve"> value of the bolt circle center.
All calculated values will be absolute.</t>
        </r>
      </text>
    </comment>
    <comment ref="C17" authorId="0" shapeId="0" xr:uid="{00000000-0006-0000-0D00-000006000000}">
      <text>
        <r>
          <rPr>
            <sz val="16"/>
            <color indexed="81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 May</author>
  </authors>
  <commentList>
    <comment ref="C5" authorId="0" shapeId="0" xr:uid="{00000000-0006-0000-0E00-000001000000}">
      <text>
        <r>
          <rPr>
            <sz val="14"/>
            <color indexed="81"/>
            <rFont val="Tahoma"/>
            <family val="2"/>
          </rPr>
          <t xml:space="preserve">Enter number as exact as possible for the </t>
        </r>
        <r>
          <rPr>
            <b/>
            <u/>
            <sz val="14"/>
            <color indexed="81"/>
            <rFont val="Tahoma"/>
            <family val="2"/>
          </rPr>
          <t>X</t>
        </r>
        <r>
          <rPr>
            <sz val="14"/>
            <color indexed="81"/>
            <rFont val="Tahoma"/>
            <family val="2"/>
          </rPr>
          <t xml:space="preserve"> coordinate.
It will be rounded according to your setting in the Precision  area.</t>
        </r>
      </text>
    </comment>
    <comment ref="C6" authorId="0" shapeId="0" xr:uid="{00000000-0006-0000-0E00-000002000000}">
      <text>
        <r>
          <rPr>
            <sz val="14"/>
            <color indexed="81"/>
            <rFont val="Tahoma"/>
            <family val="2"/>
          </rPr>
          <t xml:space="preserve">Enter number as exact as possible for the </t>
        </r>
        <r>
          <rPr>
            <b/>
            <u/>
            <sz val="14"/>
            <color indexed="81"/>
            <rFont val="Tahoma"/>
            <family val="2"/>
          </rPr>
          <t>Y</t>
        </r>
        <r>
          <rPr>
            <sz val="14"/>
            <color indexed="81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 shapeId="0" xr:uid="{00000000-0006-0000-0E00-000003000000}">
      <text>
        <r>
          <rPr>
            <sz val="16"/>
            <color indexed="81"/>
            <rFont val="Tahoma"/>
            <family val="2"/>
          </rPr>
          <t>Enter the degrees of seperation to the next hole.
EXAMPLE: Enter 1.5 for 1 degree 30 minutes.
If you want holes calculated in a Counter Clockwise rotation, enter a NEGATIVE DEGREE.</t>
        </r>
      </text>
    </comment>
    <comment ref="C12" authorId="0" shapeId="0" xr:uid="{00000000-0006-0000-0E00-000004000000}">
      <text>
        <r>
          <rPr>
            <sz val="16"/>
            <color indexed="81"/>
            <rFont val="Tahoma"/>
            <family val="2"/>
          </rPr>
          <t>Enter the desired radius difference per hole.
A negative number will calculate a decreasing radius.</t>
        </r>
      </text>
    </comment>
    <comment ref="C13" authorId="0" shapeId="0" xr:uid="{00000000-0006-0000-0E00-000005000000}">
      <text>
        <r>
          <rPr>
            <sz val="16"/>
            <color indexed="81"/>
            <rFont val="Tahoma"/>
            <family val="2"/>
          </rPr>
          <t>Enter the desired radius difference per revolution.
A negative number will calculate a decreasing radius.</t>
        </r>
      </text>
    </comment>
    <comment ref="C17" authorId="0" shapeId="0" xr:uid="{00000000-0006-0000-0E00-000006000000}">
      <text>
        <r>
          <rPr>
            <sz val="16"/>
            <color indexed="81"/>
            <rFont val="Tahoma"/>
            <family val="2"/>
          </rPr>
          <t>Enter the desired number of revolutions.</t>
        </r>
      </text>
    </comment>
    <comment ref="C20" authorId="0" shapeId="0" xr:uid="{00000000-0006-0000-0E00-000007000000}">
      <text>
        <r>
          <rPr>
            <sz val="16"/>
            <color indexed="81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</commentList>
</comments>
</file>

<file path=xl/sharedStrings.xml><?xml version="1.0" encoding="utf-8"?>
<sst xmlns="http://schemas.openxmlformats.org/spreadsheetml/2006/main" count="3285" uniqueCount="1143">
  <si>
    <t>Outstanding Checks</t>
  </si>
  <si>
    <t>Checkbook Reconciliation</t>
  </si>
  <si>
    <t>&amp; ATM Withdrawals</t>
  </si>
  <si>
    <t>Check#</t>
  </si>
  <si>
    <t>Amount</t>
  </si>
  <si>
    <t>Ending Balance</t>
  </si>
  <si>
    <t>Checkbook</t>
  </si>
  <si>
    <t>on Statement</t>
  </si>
  <si>
    <t>Balance</t>
  </si>
  <si>
    <t>Bank</t>
  </si>
  <si>
    <t>Deposits</t>
  </si>
  <si>
    <t>Charges</t>
  </si>
  <si>
    <t>Not Credited</t>
  </si>
  <si>
    <t>Interest</t>
  </si>
  <si>
    <t>Total Deposits</t>
  </si>
  <si>
    <t>Total 1</t>
  </si>
  <si>
    <t>Total 2</t>
  </si>
  <si>
    <t>Total 1 &amp; 2 should be the same</t>
  </si>
  <si>
    <t>Total 1 &amp; 2 Difference</t>
  </si>
  <si>
    <t>Total withdrawals outstanding:</t>
  </si>
  <si>
    <t>Loan Payment Calculator</t>
  </si>
  <si>
    <t>For a fixed rate loan (360 month maximum)</t>
  </si>
  <si>
    <t>No $ sign</t>
  </si>
  <si>
    <t>Amount of money borrowed</t>
  </si>
  <si>
    <t>Monthly payment</t>
  </si>
  <si>
    <t>No % sign</t>
  </si>
  <si>
    <t>Annual interest rate. Example: 8.5% = 8.5</t>
  </si>
  <si>
    <t>Total interest paid</t>
  </si>
  <si>
    <t>Number of monthly payments</t>
  </si>
  <si>
    <t>Total amount repaid</t>
  </si>
  <si>
    <t>Enter 1 - 12</t>
  </si>
  <si>
    <t>Month first payment due. Example May = 5</t>
  </si>
  <si>
    <t>Year Loan</t>
  </si>
  <si>
    <t>Desired Additional Money Paid Monthly</t>
  </si>
  <si>
    <t>Pmnt</t>
  </si>
  <si>
    <t>Beginning</t>
  </si>
  <si>
    <t>Principal</t>
  </si>
  <si>
    <t>Ending</t>
  </si>
  <si>
    <t>Total Principal</t>
  </si>
  <si>
    <t>Total Interest</t>
  </si>
  <si>
    <t>End of Year</t>
  </si>
  <si>
    <t>#</t>
  </si>
  <si>
    <t>Payment</t>
  </si>
  <si>
    <t>Paid to Date</t>
  </si>
  <si>
    <t>Totals</t>
  </si>
  <si>
    <t>Body Mass Index &amp; Calorie Calculator</t>
  </si>
  <si>
    <t>NOTE: Not to be used for health or weight purposes</t>
  </si>
  <si>
    <t>Weight (in pounds)</t>
  </si>
  <si>
    <t>Height (in inches)</t>
  </si>
  <si>
    <t>Age (in years)</t>
  </si>
  <si>
    <t>Women</t>
  </si>
  <si>
    <t>Men</t>
  </si>
  <si>
    <t>Conversion Calculator</t>
  </si>
  <si>
    <t>Metric to English</t>
  </si>
  <si>
    <t>English to Metric</t>
  </si>
  <si>
    <t>Millimeters=</t>
  </si>
  <si>
    <t>Inches</t>
  </si>
  <si>
    <t>Inches=</t>
  </si>
  <si>
    <t>Millimeters</t>
  </si>
  <si>
    <t>Centimeters=</t>
  </si>
  <si>
    <t>Centimeters</t>
  </si>
  <si>
    <t>Meters=</t>
  </si>
  <si>
    <t>Feet</t>
  </si>
  <si>
    <t>Feet=</t>
  </si>
  <si>
    <t>Meters</t>
  </si>
  <si>
    <t>Yards</t>
  </si>
  <si>
    <t>Yards=</t>
  </si>
  <si>
    <t>Kilometers=</t>
  </si>
  <si>
    <t>Miles</t>
  </si>
  <si>
    <t>Miles=</t>
  </si>
  <si>
    <t>Kilometers</t>
  </si>
  <si>
    <t>Celsius=</t>
  </si>
  <si>
    <t>Fahrenheit</t>
  </si>
  <si>
    <t>Fahrenheit=</t>
  </si>
  <si>
    <t>Celsius</t>
  </si>
  <si>
    <t>Grams=</t>
  </si>
  <si>
    <t>Ounces</t>
  </si>
  <si>
    <t>Ounces=</t>
  </si>
  <si>
    <t>Grams</t>
  </si>
  <si>
    <t>Kilograms=</t>
  </si>
  <si>
    <t>Pounds</t>
  </si>
  <si>
    <t>Pounds=</t>
  </si>
  <si>
    <t>Kilograms</t>
  </si>
  <si>
    <t>Liters=</t>
  </si>
  <si>
    <t>Quarts</t>
  </si>
  <si>
    <t>Quarts=</t>
  </si>
  <si>
    <t>Liters</t>
  </si>
  <si>
    <t>Gallons</t>
  </si>
  <si>
    <t>Gallons=</t>
  </si>
  <si>
    <t>Radians=</t>
  </si>
  <si>
    <t>Degrees</t>
  </si>
  <si>
    <t>Degrees=</t>
  </si>
  <si>
    <t>Radians</t>
  </si>
  <si>
    <t>Convert</t>
  </si>
  <si>
    <t>From</t>
  </si>
  <si>
    <t>To</t>
  </si>
  <si>
    <t>Right Triangle Solver</t>
  </si>
  <si>
    <t>Enter ONLY TWO known pieces of information</t>
  </si>
  <si>
    <t>a</t>
  </si>
  <si>
    <t>b</t>
  </si>
  <si>
    <t>c</t>
  </si>
  <si>
    <t>Y</t>
  </si>
  <si>
    <t>Z</t>
  </si>
  <si>
    <t>a=</t>
  </si>
  <si>
    <t>b=</t>
  </si>
  <si>
    <t>c=</t>
  </si>
  <si>
    <t>X=</t>
  </si>
  <si>
    <t>Y=</t>
  </si>
  <si>
    <t>Z=</t>
  </si>
  <si>
    <t>Degree Converter</t>
  </si>
  <si>
    <t>Degrees entered as a decimal will be converted to Deg, Min, Sec</t>
  </si>
  <si>
    <t>Minutes</t>
  </si>
  <si>
    <t>Seconds</t>
  </si>
  <si>
    <t xml:space="preserve"> Angle as a decimal</t>
  </si>
  <si>
    <t xml:space="preserve">a  </t>
  </si>
  <si>
    <t xml:space="preserve">NOTE: </t>
  </si>
  <si>
    <t>The Degree Converter above has</t>
  </si>
  <si>
    <t>no influence on the Right Triangle</t>
  </si>
  <si>
    <t xml:space="preserve">Z     </t>
  </si>
  <si>
    <t>calculations.</t>
  </si>
  <si>
    <t>X</t>
  </si>
  <si>
    <t>Tap Drill Size For Inch &amp; Metric 60 Degree Threads</t>
  </si>
  <si>
    <t>Use the chart to the right to obtain the correct diameter for number screws</t>
  </si>
  <si>
    <t>Cold Form</t>
  </si>
  <si>
    <t>Screw</t>
  </si>
  <si>
    <t>INCH</t>
  </si>
  <si>
    <t>Tap Drill Size</t>
  </si>
  <si>
    <t>Number</t>
  </si>
  <si>
    <t>Diameter</t>
  </si>
  <si>
    <t>Screw Diameter</t>
  </si>
  <si>
    <t>inches</t>
  </si>
  <si>
    <t>Threads per inch</t>
  </si>
  <si>
    <t>mm</t>
  </si>
  <si>
    <t>Percent Thread</t>
  </si>
  <si>
    <t>%</t>
  </si>
  <si>
    <t>METRIC</t>
  </si>
  <si>
    <t>Thread Pitch</t>
  </si>
  <si>
    <t>Approximate Threads Per Inch</t>
  </si>
  <si>
    <t>Drill Bit Equivalence</t>
  </si>
  <si>
    <t>Decimal</t>
  </si>
  <si>
    <t>Fraction</t>
  </si>
  <si>
    <t>&amp; Letter</t>
  </si>
  <si>
    <t>Millimeter</t>
  </si>
  <si>
    <t>Letter</t>
  </si>
  <si>
    <t>15/64</t>
  </si>
  <si>
    <t>3/8</t>
  </si>
  <si>
    <t>29/32</t>
  </si>
  <si>
    <t>1/8</t>
  </si>
  <si>
    <t>V</t>
  </si>
  <si>
    <t>59/64</t>
  </si>
  <si>
    <t>B</t>
  </si>
  <si>
    <t>15/16</t>
  </si>
  <si>
    <t>C</t>
  </si>
  <si>
    <t>61/64</t>
  </si>
  <si>
    <t>D</t>
  </si>
  <si>
    <t>W</t>
  </si>
  <si>
    <t>31/32</t>
  </si>
  <si>
    <t>3/64</t>
  </si>
  <si>
    <t>25/64</t>
  </si>
  <si>
    <t>1/4</t>
  </si>
  <si>
    <t>E</t>
  </si>
  <si>
    <t>63/64</t>
  </si>
  <si>
    <t>9/64</t>
  </si>
  <si>
    <t>1</t>
  </si>
  <si>
    <t>F</t>
  </si>
  <si>
    <t>13/32</t>
  </si>
  <si>
    <t>1-1/64</t>
  </si>
  <si>
    <t>G</t>
  </si>
  <si>
    <t>1-1/32</t>
  </si>
  <si>
    <t>27/64</t>
  </si>
  <si>
    <t>17/64</t>
  </si>
  <si>
    <t>1-3/64</t>
  </si>
  <si>
    <t>7/16</t>
  </si>
  <si>
    <t>1-1/16</t>
  </si>
  <si>
    <t>H</t>
  </si>
  <si>
    <t>29/64</t>
  </si>
  <si>
    <t>1-5/64</t>
  </si>
  <si>
    <t>1/16</t>
  </si>
  <si>
    <t>15/32</t>
  </si>
  <si>
    <t>5/32</t>
  </si>
  <si>
    <t>I</t>
  </si>
  <si>
    <t>1-3/32</t>
  </si>
  <si>
    <t>31/64</t>
  </si>
  <si>
    <t>J</t>
  </si>
  <si>
    <t>1-7/64</t>
  </si>
  <si>
    <t>1/2</t>
  </si>
  <si>
    <t>K</t>
  </si>
  <si>
    <t>1-1/8</t>
  </si>
  <si>
    <t>9/32</t>
  </si>
  <si>
    <t>33/64</t>
  </si>
  <si>
    <t>1-9/64</t>
  </si>
  <si>
    <t>17/32</t>
  </si>
  <si>
    <t>1-5/32</t>
  </si>
  <si>
    <t>35/64</t>
  </si>
  <si>
    <t>L</t>
  </si>
  <si>
    <t>1-11/64</t>
  </si>
  <si>
    <t>9/16</t>
  </si>
  <si>
    <t>11/64</t>
  </si>
  <si>
    <t>M</t>
  </si>
  <si>
    <t>1-3/16</t>
  </si>
  <si>
    <t>37/64</t>
  </si>
  <si>
    <t>5/64</t>
  </si>
  <si>
    <t>19/64</t>
  </si>
  <si>
    <t>1-13/64</t>
  </si>
  <si>
    <t>19/32</t>
  </si>
  <si>
    <t>1-7/32</t>
  </si>
  <si>
    <t>N</t>
  </si>
  <si>
    <t>39/64</t>
  </si>
  <si>
    <t>1-15/64</t>
  </si>
  <si>
    <t>5/8</t>
  </si>
  <si>
    <t>1-1/4</t>
  </si>
  <si>
    <t>41/64</t>
  </si>
  <si>
    <t>5/16</t>
  </si>
  <si>
    <t>1-17/64</t>
  </si>
  <si>
    <t>3/16</t>
  </si>
  <si>
    <t>21/32</t>
  </si>
  <si>
    <t>O</t>
  </si>
  <si>
    <t>1-9/32</t>
  </si>
  <si>
    <t>43/64</t>
  </si>
  <si>
    <t>1-19/64</t>
  </si>
  <si>
    <t>11/16</t>
  </si>
  <si>
    <t>P</t>
  </si>
  <si>
    <t>1-5/16</t>
  </si>
  <si>
    <t>45/64</t>
  </si>
  <si>
    <t>1-21/64</t>
  </si>
  <si>
    <t>3/32</t>
  </si>
  <si>
    <t>21/64</t>
  </si>
  <si>
    <t xml:space="preserve">Foot-pounds/Second </t>
  </si>
  <si>
    <t xml:space="preserve">Gram-cal/Second </t>
  </si>
  <si>
    <t xml:space="preserve">Watts </t>
  </si>
  <si>
    <t xml:space="preserve">BTU/Minute </t>
  </si>
  <si>
    <t xml:space="preserve">Foot-lbs/Second </t>
  </si>
  <si>
    <t xml:space="preserve">HorsePower </t>
  </si>
  <si>
    <t xml:space="preserve">Kilowatts </t>
  </si>
  <si>
    <t xml:space="preserve">BTU/Square Foot/Minute </t>
  </si>
  <si>
    <t xml:space="preserve">watts/Square in </t>
  </si>
  <si>
    <t xml:space="preserve">Bushels </t>
  </si>
  <si>
    <t xml:space="preserve">Cubic Inches </t>
  </si>
  <si>
    <t xml:space="preserve">Cubic Meters </t>
  </si>
  <si>
    <t xml:space="preserve">Liters </t>
  </si>
  <si>
    <t xml:space="preserve">Pecks </t>
  </si>
  <si>
    <t xml:space="preserve">Pint (dry) </t>
  </si>
  <si>
    <t xml:space="preserve">Calorie </t>
  </si>
  <si>
    <t xml:space="preserve">HorsePower-hour </t>
  </si>
  <si>
    <t xml:space="preserve">HorsePower-hour (metric) </t>
  </si>
  <si>
    <t xml:space="preserve">Joule </t>
  </si>
  <si>
    <t xml:space="preserve">Kilowatt-hour </t>
  </si>
  <si>
    <t xml:space="preserve">Calorie, Gram (mean) </t>
  </si>
  <si>
    <t xml:space="preserve">BTU (mean) </t>
  </si>
  <si>
    <t xml:space="preserve">Candle/Square Centimeters </t>
  </si>
  <si>
    <t xml:space="preserve">Lamberts </t>
  </si>
  <si>
    <t xml:space="preserve">Candle/Square Inch </t>
  </si>
  <si>
    <t xml:space="preserve">Centares (centiares) </t>
  </si>
  <si>
    <t xml:space="preserve">Centigrams </t>
  </si>
  <si>
    <t xml:space="preserve">Grams </t>
  </si>
  <si>
    <t xml:space="preserve">Centiliter </t>
  </si>
  <si>
    <t xml:space="preserve">Ounce fluid (US) </t>
  </si>
  <si>
    <t xml:space="preserve">Centiliters </t>
  </si>
  <si>
    <t>Centimeter-Dynes</t>
  </si>
  <si>
    <t>Meter-kgs</t>
  </si>
  <si>
    <t>Pound-Feet</t>
  </si>
  <si>
    <t>Mils</t>
  </si>
  <si>
    <t xml:space="preserve">Centimeters of Mercury </t>
  </si>
  <si>
    <t xml:space="preserve">Feet of water </t>
  </si>
  <si>
    <t>Centimeters per Minute</t>
  </si>
  <si>
    <t>Inches per Minute</t>
  </si>
  <si>
    <t>Centimeters per Second</t>
  </si>
  <si>
    <t>Feet per Minute</t>
  </si>
  <si>
    <t>Feet per Second</t>
  </si>
  <si>
    <t>Inch Listing</t>
  </si>
  <si>
    <t xml:space="preserve">Centimeters/Seconds </t>
  </si>
  <si>
    <t xml:space="preserve">Feet/Minutes </t>
  </si>
  <si>
    <t xml:space="preserve">Feet/Seconds </t>
  </si>
  <si>
    <t xml:space="preserve">Kilometers/Hour </t>
  </si>
  <si>
    <t xml:space="preserve">Knots </t>
  </si>
  <si>
    <t xml:space="preserve">Meters/Minutes </t>
  </si>
  <si>
    <t xml:space="preserve">Miles/Hour </t>
  </si>
  <si>
    <t xml:space="preserve">Miles/Minutes </t>
  </si>
  <si>
    <t xml:space="preserve">Centimeters/Seconds/Seconds </t>
  </si>
  <si>
    <t xml:space="preserve">Feet/Seconds/Seconds </t>
  </si>
  <si>
    <t xml:space="preserve">Kilometers/Hour/Seconds </t>
  </si>
  <si>
    <t xml:space="preserve">meters/Seconds/Seconds </t>
  </si>
  <si>
    <t xml:space="preserve">Miles/Hour/Seconds </t>
  </si>
  <si>
    <t>Centimeters-Dynes</t>
  </si>
  <si>
    <t>Centimeter-Grams</t>
  </si>
  <si>
    <t>Chain</t>
  </si>
  <si>
    <t xml:space="preserve">Circular Mils </t>
  </si>
  <si>
    <t xml:space="preserve">Square Centimeters </t>
  </si>
  <si>
    <t xml:space="preserve">Square Inches </t>
  </si>
  <si>
    <t xml:space="preserve">Square Mils </t>
  </si>
  <si>
    <t xml:space="preserve">Cord Feet </t>
  </si>
  <si>
    <t xml:space="preserve">Cubic Centimeter </t>
  </si>
  <si>
    <t xml:space="preserve">Cubic foot </t>
  </si>
  <si>
    <t xml:space="preserve">Cubic Inch </t>
  </si>
  <si>
    <t xml:space="preserve">Cubic meter </t>
  </si>
  <si>
    <t xml:space="preserve">Cubic millimeter </t>
  </si>
  <si>
    <t xml:space="preserve">Cubic yard </t>
  </si>
  <si>
    <t xml:space="preserve">Drachm (Brit. fluid) </t>
  </si>
  <si>
    <t xml:space="preserve">Dram (U.S. fluid) </t>
  </si>
  <si>
    <t xml:space="preserve">Gallon (Brit liq.) </t>
  </si>
  <si>
    <t xml:space="preserve">Gallon (US liq.) </t>
  </si>
  <si>
    <t xml:space="preserve">Liter </t>
  </si>
  <si>
    <t xml:space="preserve">Pint (US liq.) </t>
  </si>
  <si>
    <t xml:space="preserve">Quart (US liq.) </t>
  </si>
  <si>
    <t xml:space="preserve">Bushels (dry) </t>
  </si>
  <si>
    <t xml:space="preserve">Cubic Centimeters </t>
  </si>
  <si>
    <t xml:space="preserve">Cubic Yards </t>
  </si>
  <si>
    <t xml:space="preserve">Gallons (US liq.) </t>
  </si>
  <si>
    <t xml:space="preserve">Pints (US liq.) </t>
  </si>
  <si>
    <t xml:space="preserve">Quarts (US liq) </t>
  </si>
  <si>
    <t>Cubic Feet per Minute</t>
  </si>
  <si>
    <t>Cubic Meters per Second</t>
  </si>
  <si>
    <t>Liters per Minute</t>
  </si>
  <si>
    <t xml:space="preserve">Cubic Feet/Minute </t>
  </si>
  <si>
    <t xml:space="preserve">Cubic cms/Second </t>
  </si>
  <si>
    <t xml:space="preserve">Gallons/Second </t>
  </si>
  <si>
    <t xml:space="preserve">Liters/Second </t>
  </si>
  <si>
    <t xml:space="preserve">Pounds of water/Minute </t>
  </si>
  <si>
    <t xml:space="preserve">Cubic Feet/Second </t>
  </si>
  <si>
    <t xml:space="preserve">Gallons/Minute </t>
  </si>
  <si>
    <t xml:space="preserve">Million Gallons/day </t>
  </si>
  <si>
    <t>Cubic Centimeters</t>
  </si>
  <si>
    <t>Cubic Millimeters</t>
  </si>
  <si>
    <t xml:space="preserve">Mil-Feet </t>
  </si>
  <si>
    <t xml:space="preserve">Quarts (US liq.) </t>
  </si>
  <si>
    <t>Gallon (U.K. liquid)</t>
  </si>
  <si>
    <t>Cubic Meters per Minute</t>
  </si>
  <si>
    <t>Gallons (U.K. liquid) per Minute</t>
  </si>
  <si>
    <t>Gallons (U.S. liquid) per Minute</t>
  </si>
  <si>
    <t xml:space="preserve">Cubic Yards/Minute </t>
  </si>
  <si>
    <t xml:space="preserve">Cubic Yards/Minutes </t>
  </si>
  <si>
    <t xml:space="preserve">Cubic Feet/Seconds </t>
  </si>
  <si>
    <t xml:space="preserve">Deciliters </t>
  </si>
  <si>
    <t>Decimeters</t>
  </si>
  <si>
    <t xml:space="preserve">Degrees/Seconds </t>
  </si>
  <si>
    <t xml:space="preserve">Revolutions/Minutes </t>
  </si>
  <si>
    <t xml:space="preserve">Revolutions/Seconds </t>
  </si>
  <si>
    <t xml:space="preserve">Dekagrams </t>
  </si>
  <si>
    <t xml:space="preserve">Dekaliters </t>
  </si>
  <si>
    <t>Dekameters</t>
  </si>
  <si>
    <t xml:space="preserve">Drams </t>
  </si>
  <si>
    <t xml:space="preserve">Grains </t>
  </si>
  <si>
    <t xml:space="preserve">Ounces </t>
  </si>
  <si>
    <t xml:space="preserve">Drams(apoth. or troy) </t>
  </si>
  <si>
    <t xml:space="preserve">Ounces (troy) </t>
  </si>
  <si>
    <t xml:space="preserve">ounces(avoirdupois) </t>
  </si>
  <si>
    <t xml:space="preserve">Drops </t>
  </si>
  <si>
    <t xml:space="preserve">Teaspoons </t>
  </si>
  <si>
    <t>Dyne/Centimeter</t>
  </si>
  <si>
    <t>Erg/sq. millimeter</t>
  </si>
  <si>
    <t>Dyne/sq. Centimeter</t>
  </si>
  <si>
    <t>Atmospheres</t>
  </si>
  <si>
    <t>Inch of mercury at 0øC</t>
  </si>
  <si>
    <t>Inch of water at 4øC</t>
  </si>
  <si>
    <t xml:space="preserve">Dyne/sq. cm </t>
  </si>
  <si>
    <t>1/4 &amp; E</t>
  </si>
  <si>
    <t xml:space="preserve">Inch of Mercury at 0øC </t>
  </si>
  <si>
    <t xml:space="preserve">Inch of water at 4øC </t>
  </si>
  <si>
    <t>Dynes</t>
  </si>
  <si>
    <t>Joules/Centimeter</t>
  </si>
  <si>
    <t>Joules/Meter (Newtons)</t>
  </si>
  <si>
    <t>Newtons (N)</t>
  </si>
  <si>
    <t>Poundals</t>
  </si>
  <si>
    <t xml:space="preserve">Dynes </t>
  </si>
  <si>
    <t xml:space="preserve">Kilograms </t>
  </si>
  <si>
    <t xml:space="preserve">Poundals </t>
  </si>
  <si>
    <t xml:space="preserve">Pounds </t>
  </si>
  <si>
    <t>Dynes/sq. Centimeter</t>
  </si>
  <si>
    <t>Ell</t>
  </si>
  <si>
    <t xml:space="preserve">Em (pica) </t>
  </si>
  <si>
    <t>Inch</t>
  </si>
  <si>
    <t xml:space="preserve">Watt-Hours </t>
  </si>
  <si>
    <t xml:space="preserve">Ergs/Second </t>
  </si>
  <si>
    <t xml:space="preserve">Faraday/Second </t>
  </si>
  <si>
    <t xml:space="preserve">Ampere (absolute) </t>
  </si>
  <si>
    <t>Fathoms</t>
  </si>
  <si>
    <t>Meter</t>
  </si>
  <si>
    <t xml:space="preserve">Miles (naut.) </t>
  </si>
  <si>
    <t xml:space="preserve">Miles (stat.) </t>
  </si>
  <si>
    <t xml:space="preserve">in. of Mercury </t>
  </si>
  <si>
    <t>Feet per Hour</t>
  </si>
  <si>
    <t>Meters per Hour</t>
  </si>
  <si>
    <t>Meters per Minute</t>
  </si>
  <si>
    <t>Meters per Second</t>
  </si>
  <si>
    <t xml:space="preserve">Kilometers/kr </t>
  </si>
  <si>
    <t xml:space="preserve">Meters/Seconds/Seconds </t>
  </si>
  <si>
    <t xml:space="preserve">Foot-Candle </t>
  </si>
  <si>
    <t xml:space="preserve">Lumen/sq. Meter </t>
  </si>
  <si>
    <t xml:space="preserve">Lumen/Square Meter </t>
  </si>
  <si>
    <t xml:space="preserve">Foot-pounds </t>
  </si>
  <si>
    <t xml:space="preserve">hp-Hours </t>
  </si>
  <si>
    <t xml:space="preserve">Foot-pounds/Minute </t>
  </si>
  <si>
    <t>Furlongs</t>
  </si>
  <si>
    <t>Rods</t>
  </si>
  <si>
    <t>Gallon (U.S. liquid)</t>
  </si>
  <si>
    <t xml:space="preserve">Gallons (liq. British imp.) </t>
  </si>
  <si>
    <t>Liters per Second</t>
  </si>
  <si>
    <t xml:space="preserve">Gallons (US) </t>
  </si>
  <si>
    <t xml:space="preserve">Gallons (imp.) </t>
  </si>
  <si>
    <t xml:space="preserve">Cubic Feet/Hour </t>
  </si>
  <si>
    <t xml:space="preserve">Gilberts/Centimeters </t>
  </si>
  <si>
    <t xml:space="preserve">amp-turns/Centimeters </t>
  </si>
  <si>
    <t xml:space="preserve">amp-turns/in </t>
  </si>
  <si>
    <t xml:space="preserve">amp-turns/Meter </t>
  </si>
  <si>
    <t xml:space="preserve">Gills </t>
  </si>
  <si>
    <t xml:space="preserve">Pints (liq.) </t>
  </si>
  <si>
    <t xml:space="preserve">Gills (British) </t>
  </si>
  <si>
    <t xml:space="preserve">Cubic cm </t>
  </si>
  <si>
    <t>Grains (1/7000 lb. avoirdupois)</t>
  </si>
  <si>
    <t xml:space="preserve">Grains (troy) </t>
  </si>
  <si>
    <t xml:space="preserve">Grains (avoirdupois) </t>
  </si>
  <si>
    <t xml:space="preserve">Ounces (avoirdupois) </t>
  </si>
  <si>
    <t xml:space="preserve">Pennyweight (troy) </t>
  </si>
  <si>
    <t>Grains</t>
  </si>
  <si>
    <t>Kilograms (kg)</t>
  </si>
  <si>
    <t>Ounces (avoirdupois)</t>
  </si>
  <si>
    <t>Ounces (troy)</t>
  </si>
  <si>
    <t xml:space="preserve">Carat(metric) </t>
  </si>
  <si>
    <t xml:space="preserve">Dram </t>
  </si>
  <si>
    <t xml:space="preserve">Joules/cm </t>
  </si>
  <si>
    <t xml:space="preserve">Joules/meter (newtons) </t>
  </si>
  <si>
    <t xml:space="preserve">Milligrams </t>
  </si>
  <si>
    <t xml:space="preserve">Ounces(avoirdupois) </t>
  </si>
  <si>
    <t>Grams per Cubic Centimeter</t>
  </si>
  <si>
    <t>Pounds per Cubic Inch</t>
  </si>
  <si>
    <t xml:space="preserve">Grams/cm </t>
  </si>
  <si>
    <t xml:space="preserve">Pounds/Inch </t>
  </si>
  <si>
    <t xml:space="preserve">Grams/cu. cm </t>
  </si>
  <si>
    <t xml:space="preserve">Pounds/cu. Foot </t>
  </si>
  <si>
    <t xml:space="preserve">Pounds/cu. Inch </t>
  </si>
  <si>
    <t>Hand</t>
  </si>
  <si>
    <t xml:space="preserve">Hectares </t>
  </si>
  <si>
    <t xml:space="preserve">Hectograms </t>
  </si>
  <si>
    <t xml:space="preserve">Hectoliters </t>
  </si>
  <si>
    <t>Hectometers</t>
  </si>
  <si>
    <t xml:space="preserve">hectowatts </t>
  </si>
  <si>
    <t xml:space="preserve">Hogsheads (British) </t>
  </si>
  <si>
    <t xml:space="preserve">Hogsheads (U.S.) </t>
  </si>
  <si>
    <t xml:space="preserve">Gallons (U.S.) </t>
  </si>
  <si>
    <t xml:space="preserve">Foot-lbs/Minute </t>
  </si>
  <si>
    <t xml:space="preserve">Kilogram-Calories/Minute </t>
  </si>
  <si>
    <t xml:space="preserve">HorsePower (boiler) </t>
  </si>
  <si>
    <t xml:space="preserve">HorsePower (metric) </t>
  </si>
  <si>
    <t xml:space="preserve">Hours (mean solar) </t>
  </si>
  <si>
    <t xml:space="preserve">Days </t>
  </si>
  <si>
    <t xml:space="preserve">Weeks </t>
  </si>
  <si>
    <t>Hundredweight (long)</t>
  </si>
  <si>
    <t>Hundredweight (short)</t>
  </si>
  <si>
    <t>Kilogram (kg)</t>
  </si>
  <si>
    <t xml:space="preserve">Hundredweights (long) </t>
  </si>
  <si>
    <t xml:space="preserve">Tons (long) </t>
  </si>
  <si>
    <t xml:space="preserve">Hundredweights (short) </t>
  </si>
  <si>
    <t xml:space="preserve">Tons (metric) </t>
  </si>
  <si>
    <t xml:space="preserve">Inches of Mercury </t>
  </si>
  <si>
    <t xml:space="preserve">Pounds/sq. ft. </t>
  </si>
  <si>
    <t xml:space="preserve">Pounds/sq. in. </t>
  </si>
  <si>
    <t>Inches of water (at 4øC)</t>
  </si>
  <si>
    <t xml:space="preserve">Ounces/sq. Inch </t>
  </si>
  <si>
    <t>Millimeters per Minute</t>
  </si>
  <si>
    <t xml:space="preserve">international Ampere </t>
  </si>
  <si>
    <t xml:space="preserve">international Volt </t>
  </si>
  <si>
    <t xml:space="preserve">Joules (absolute) </t>
  </si>
  <si>
    <t xml:space="preserve">Joules/Centimeters </t>
  </si>
  <si>
    <t xml:space="preserve">dynes </t>
  </si>
  <si>
    <t xml:space="preserve">Joules/Meter (newton) </t>
  </si>
  <si>
    <t>Grams (g)</t>
  </si>
  <si>
    <t>Pounds (avoirdupois)</t>
  </si>
  <si>
    <t>Slug</t>
  </si>
  <si>
    <t>Tonne</t>
  </si>
  <si>
    <t>Tons (long)</t>
  </si>
  <si>
    <t>Tons (metric)</t>
  </si>
  <si>
    <t>Tons (short)</t>
  </si>
  <si>
    <t xml:space="preserve">joules/cm </t>
  </si>
  <si>
    <t xml:space="preserve">joules/meter (newtons) </t>
  </si>
  <si>
    <t xml:space="preserve">Tons (short) </t>
  </si>
  <si>
    <t>Kilograms per Cubic Meter</t>
  </si>
  <si>
    <t>Pounds per Cubic Feet</t>
  </si>
  <si>
    <t>Pounds per Gallon (U.K. liquid)</t>
  </si>
  <si>
    <t>Pounds per Gallon (U.S. liquid)</t>
  </si>
  <si>
    <t xml:space="preserve">Kilograms/cu meter </t>
  </si>
  <si>
    <t xml:space="preserve">grams/cu cm </t>
  </si>
  <si>
    <t xml:space="preserve">Pound/cu Foot </t>
  </si>
  <si>
    <t xml:space="preserve">Pounds/cu Inch </t>
  </si>
  <si>
    <t xml:space="preserve">Pounds/mil-foot </t>
  </si>
  <si>
    <t xml:space="preserve">Pounds/sq Foot </t>
  </si>
  <si>
    <t xml:space="preserve">Pounds/sq Inch </t>
  </si>
  <si>
    <t xml:space="preserve">Kilograms/meter </t>
  </si>
  <si>
    <t xml:space="preserve">Pounds/Foot </t>
  </si>
  <si>
    <t>Kilograms/sq Centimeter</t>
  </si>
  <si>
    <t xml:space="preserve">Kilograms/sq cm </t>
  </si>
  <si>
    <t xml:space="preserve">Kilograms/sq mm </t>
  </si>
  <si>
    <t xml:space="preserve">Kgs/sq meter </t>
  </si>
  <si>
    <t>Kilograms-Force</t>
  </si>
  <si>
    <t xml:space="preserve">Kiloliters </t>
  </si>
  <si>
    <t xml:space="preserve">Kilometers </t>
  </si>
  <si>
    <t xml:space="preserve">Astronomical unit </t>
  </si>
  <si>
    <t xml:space="preserve">Centimeters </t>
  </si>
  <si>
    <t xml:space="preserve">Feet </t>
  </si>
  <si>
    <t xml:space="preserve">Inches </t>
  </si>
  <si>
    <t xml:space="preserve">Light year </t>
  </si>
  <si>
    <t xml:space="preserve">Meters </t>
  </si>
  <si>
    <t>Miles (U.S. statute)</t>
  </si>
  <si>
    <t xml:space="preserve">Millimeters </t>
  </si>
  <si>
    <t xml:space="preserve">Yards </t>
  </si>
  <si>
    <t>Kilometers per Hour</t>
  </si>
  <si>
    <t>Miles per Hour (U.S. statute)</t>
  </si>
  <si>
    <t xml:space="preserve">Centimeters/Hour/Seconds </t>
  </si>
  <si>
    <t>Kilopond</t>
  </si>
  <si>
    <t>lbs of water ^ from 62ø-212øF</t>
  </si>
  <si>
    <t>lbs of water evap. at 212øF</t>
  </si>
  <si>
    <t xml:space="preserve">Feet/Hour </t>
  </si>
  <si>
    <t xml:space="preserve">Nautical Miles/Hour </t>
  </si>
  <si>
    <t xml:space="preserve">Statute Miles/Hour </t>
  </si>
  <si>
    <t xml:space="preserve">Yards/Hour </t>
  </si>
  <si>
    <t>League</t>
  </si>
  <si>
    <t xml:space="preserve">Light-year </t>
  </si>
  <si>
    <t xml:space="preserve">Miles </t>
  </si>
  <si>
    <t xml:space="preserve">Links (engineer's) </t>
  </si>
  <si>
    <t xml:space="preserve">Links (surveyor's) </t>
  </si>
  <si>
    <t xml:space="preserve">Bushels (U.S. dry) </t>
  </si>
  <si>
    <t xml:space="preserve">Gallons (U.S. liq.) </t>
  </si>
  <si>
    <t xml:space="preserve">Pints (U.S. liq.) </t>
  </si>
  <si>
    <t xml:space="preserve">Quarts (U.S. liq.) </t>
  </si>
  <si>
    <t>Gallon (U.S. liquid) per Minute</t>
  </si>
  <si>
    <t xml:space="preserve">Liters/Minute </t>
  </si>
  <si>
    <t xml:space="preserve">Lumen </t>
  </si>
  <si>
    <t xml:space="preserve">Spherical Candle Power </t>
  </si>
  <si>
    <t xml:space="preserve">Watt </t>
  </si>
  <si>
    <t xml:space="preserve">Lumens/sq Foot </t>
  </si>
  <si>
    <t xml:space="preserve">Foot-Candles </t>
  </si>
  <si>
    <t xml:space="preserve">Lumen/sq Meter </t>
  </si>
  <si>
    <t xml:space="preserve">Lumens/Square Foot </t>
  </si>
  <si>
    <t xml:space="preserve">Lux </t>
  </si>
  <si>
    <t xml:space="preserve">Megohms </t>
  </si>
  <si>
    <t xml:space="preserve">Microhms </t>
  </si>
  <si>
    <t xml:space="preserve">Ohms </t>
  </si>
  <si>
    <t xml:space="preserve">Fathom </t>
  </si>
  <si>
    <t xml:space="preserve">Miles (nautical) </t>
  </si>
  <si>
    <t xml:space="preserve">Miles (statute) </t>
  </si>
  <si>
    <t>Meters/Hour</t>
  </si>
  <si>
    <t>Feet/Minute</t>
  </si>
  <si>
    <t>Meters/Minute</t>
  </si>
  <si>
    <t>Inches/Minute</t>
  </si>
  <si>
    <t xml:space="preserve">Meters/Seconds </t>
  </si>
  <si>
    <t xml:space="preserve">Kilometers/Minutes </t>
  </si>
  <si>
    <t xml:space="preserve">Micrograms </t>
  </si>
  <si>
    <t xml:space="preserve">Microliters </t>
  </si>
  <si>
    <t xml:space="preserve">Microns </t>
  </si>
  <si>
    <t xml:space="preserve">Knots/Minutes </t>
  </si>
  <si>
    <t xml:space="preserve">Milliers </t>
  </si>
  <si>
    <t xml:space="preserve">Milliliters </t>
  </si>
  <si>
    <t xml:space="preserve">Mils </t>
  </si>
  <si>
    <t>Millimeters/Minute</t>
  </si>
  <si>
    <t xml:space="preserve">Millimicrons </t>
  </si>
  <si>
    <t xml:space="preserve">Minutes </t>
  </si>
  <si>
    <t xml:space="preserve">Seconds </t>
  </si>
  <si>
    <t>Kilograms-force</t>
  </si>
  <si>
    <t>Ounces-Force</t>
  </si>
  <si>
    <t>Poundal</t>
  </si>
  <si>
    <t>Pounds-Force</t>
  </si>
  <si>
    <t>Newtons per Meter</t>
  </si>
  <si>
    <t>Pounds per Foot</t>
  </si>
  <si>
    <t>Pounds per Inch</t>
  </si>
  <si>
    <t xml:space="preserve">Ohm (international) </t>
  </si>
  <si>
    <t xml:space="preserve">Ohm (absolute) </t>
  </si>
  <si>
    <t xml:space="preserve">Pennyweights (troy) </t>
  </si>
  <si>
    <t xml:space="preserve">Pounds (troy) </t>
  </si>
  <si>
    <t xml:space="preserve">Ounces/sq Inch </t>
  </si>
  <si>
    <t xml:space="preserve">Parsec </t>
  </si>
  <si>
    <t xml:space="preserve">Pecks (British) </t>
  </si>
  <si>
    <t xml:space="preserve">Pecks (US) </t>
  </si>
  <si>
    <t xml:space="preserve">Pints (Brit.) </t>
  </si>
  <si>
    <t xml:space="preserve">Cubic centimeters </t>
  </si>
  <si>
    <t xml:space="preserve">Gallons (Brit.) </t>
  </si>
  <si>
    <t xml:space="preserve">Gills (Brit.) </t>
  </si>
  <si>
    <t xml:space="preserve">Ounces (Brit. fluid) </t>
  </si>
  <si>
    <t xml:space="preserve">Pints (US dry) </t>
  </si>
  <si>
    <t xml:space="preserve">Pints (US liquid) </t>
  </si>
  <si>
    <t xml:space="preserve">Quarts (US dry) </t>
  </si>
  <si>
    <t xml:space="preserve">Gills (US) </t>
  </si>
  <si>
    <t xml:space="preserve">Ounce (US fluid) </t>
  </si>
  <si>
    <t xml:space="preserve">Pints (Brit. liquid) </t>
  </si>
  <si>
    <t xml:space="preserve">Quarts (liquid) </t>
  </si>
  <si>
    <t xml:space="preserve">Stones (British) </t>
  </si>
  <si>
    <t xml:space="preserve">Pounds (avoirdupois) </t>
  </si>
  <si>
    <t xml:space="preserve">Pounds of water </t>
  </si>
  <si>
    <t xml:space="preserve">Pounds/cu Foot </t>
  </si>
  <si>
    <t xml:space="preserve">Kgs/cu meter </t>
  </si>
  <si>
    <t xml:space="preserve">gms/cu cm </t>
  </si>
  <si>
    <t xml:space="preserve">Revs./Seconds </t>
  </si>
  <si>
    <t xml:space="preserve">Revolutions/Minutes/Minutes </t>
  </si>
  <si>
    <t xml:space="preserve">Revs/Minutes/Minutes </t>
  </si>
  <si>
    <t xml:space="preserve">Revs/Seconds/Seconds </t>
  </si>
  <si>
    <t xml:space="preserve">Revs/Minutes </t>
  </si>
  <si>
    <t xml:space="preserve">Revolutions/Seconds/Seconds </t>
  </si>
  <si>
    <t xml:space="preserve">radians/Seconds/Seconds </t>
  </si>
  <si>
    <t xml:space="preserve">Revs/Minutes/Seconds </t>
  </si>
  <si>
    <t xml:space="preserve">Rod </t>
  </si>
  <si>
    <t xml:space="preserve">Chain (Gunter's) </t>
  </si>
  <si>
    <t xml:space="preserve">Rods </t>
  </si>
  <si>
    <t xml:space="preserve">Rods (surveyor's meas.) </t>
  </si>
  <si>
    <t xml:space="preserve">Slug </t>
  </si>
  <si>
    <t xml:space="preserve">Kilogram </t>
  </si>
  <si>
    <t xml:space="preserve">Span </t>
  </si>
  <si>
    <t xml:space="preserve">Inch </t>
  </si>
  <si>
    <t xml:space="preserve">Square centimeters </t>
  </si>
  <si>
    <t xml:space="preserve">Square Millimeters </t>
  </si>
  <si>
    <t xml:space="preserve">Square Kilometers </t>
  </si>
  <si>
    <t xml:space="preserve">Square kms </t>
  </si>
  <si>
    <t xml:space="preserve">Stone (British) </t>
  </si>
  <si>
    <t xml:space="preserve">Pound (avoirdupois) </t>
  </si>
  <si>
    <t xml:space="preserve">Tablespoons (metric) </t>
  </si>
  <si>
    <t xml:space="preserve">Milliliter </t>
  </si>
  <si>
    <t xml:space="preserve">Tablespoons (US) </t>
  </si>
  <si>
    <t xml:space="preserve">Teaspoons (metric) </t>
  </si>
  <si>
    <t xml:space="preserve">Teaspoons (US) </t>
  </si>
  <si>
    <t>Tons (long 2000 lb)</t>
  </si>
  <si>
    <t>Tons (long 2240 lb)</t>
  </si>
  <si>
    <t xml:space="preserve">Tons (short)/sq Foot </t>
  </si>
  <si>
    <t xml:space="preserve">Tons of water/24 Hours </t>
  </si>
  <si>
    <t xml:space="preserve">Pounds of water/Hour </t>
  </si>
  <si>
    <t xml:space="preserve">Volt (absolute) </t>
  </si>
  <si>
    <t xml:space="preserve">StatVolts </t>
  </si>
  <si>
    <t xml:space="preserve">Volt Inch </t>
  </si>
  <si>
    <t xml:space="preserve">Volt/Centimeters </t>
  </si>
  <si>
    <t xml:space="preserve">Watt (international) </t>
  </si>
  <si>
    <t xml:space="preserve">Watt (absolute) </t>
  </si>
  <si>
    <t xml:space="preserve">kiloram-meters </t>
  </si>
  <si>
    <t xml:space="preserve">Erg/Second </t>
  </si>
  <si>
    <t xml:space="preserve">Watts (absolute) </t>
  </si>
  <si>
    <t xml:space="preserve">BTU (mean)/Minute </t>
  </si>
  <si>
    <t xml:space="preserve">Joules/Second </t>
  </si>
  <si>
    <t xml:space="preserve">Week </t>
  </si>
  <si>
    <t xml:space="preserve">Day </t>
  </si>
  <si>
    <t xml:space="preserve">Hour </t>
  </si>
  <si>
    <t xml:space="preserve">Minute (time) </t>
  </si>
  <si>
    <t xml:space="preserve">Month </t>
  </si>
  <si>
    <t xml:space="preserve">Second </t>
  </si>
  <si>
    <t xml:space="preserve">fathom </t>
  </si>
  <si>
    <t xml:space="preserve">Foot </t>
  </si>
  <si>
    <t>Year (mean of 4 Year period)</t>
  </si>
  <si>
    <t xml:space="preserve">Minute </t>
  </si>
  <si>
    <t>Note:</t>
  </si>
  <si>
    <t>This will not work</t>
  </si>
  <si>
    <t>with Pipe Taps</t>
  </si>
  <si>
    <t>Square Feet (US Survey)</t>
  </si>
  <si>
    <t>Square Kilometers</t>
  </si>
  <si>
    <t>Cups</t>
  </si>
  <si>
    <t>Drops</t>
  </si>
  <si>
    <t>Gills</t>
  </si>
  <si>
    <t>Ounces (U.S. fluid)</t>
  </si>
  <si>
    <t>Teaspoons (US)</t>
  </si>
  <si>
    <t>Pints</t>
  </si>
  <si>
    <t>Rounded</t>
  </si>
  <si>
    <t>Precision =</t>
  </si>
  <si>
    <t>from Bolt CircleCenter</t>
  </si>
  <si>
    <r>
      <t xml:space="preserve">or </t>
    </r>
    <r>
      <rPr>
        <b/>
        <u/>
        <sz val="12"/>
        <rFont val="Arial"/>
        <family val="2"/>
      </rPr>
      <t>Absolute</t>
    </r>
  </si>
  <si>
    <t>Spiral Offset</t>
  </si>
  <si>
    <t>Number of</t>
  </si>
  <si>
    <t>Revolutions</t>
  </si>
  <si>
    <t>Spiral Calculator</t>
  </si>
  <si>
    <t xml:space="preserve">Degrees = </t>
  </si>
  <si>
    <t>Per Rev =</t>
  </si>
  <si>
    <t>Per Hole =</t>
  </si>
  <si>
    <t>Enter First X &amp; Y</t>
  </si>
  <si>
    <t>Coordinates</t>
  </si>
  <si>
    <t>Seperation Per Hole</t>
  </si>
  <si>
    <t>Revolutions =</t>
  </si>
  <si>
    <t>X= +</t>
  </si>
  <si>
    <t>Y= +</t>
  </si>
  <si>
    <t>Y= -</t>
  </si>
  <si>
    <t>Rotation</t>
  </si>
  <si>
    <t>Spiral</t>
  </si>
  <si>
    <t>Name</t>
  </si>
  <si>
    <t>Systolic</t>
  </si>
  <si>
    <t>= maximum pressure in blood vessels when heart beats.</t>
  </si>
  <si>
    <t>over</t>
  </si>
  <si>
    <t>Blood Pressure</t>
  </si>
  <si>
    <t>Diastolic</t>
  </si>
  <si>
    <t>= minimum pressure in blood vessels between beats.</t>
  </si>
  <si>
    <t>Date</t>
  </si>
  <si>
    <t>Time</t>
  </si>
  <si>
    <t>Pulse</t>
  </si>
  <si>
    <t>Min</t>
  </si>
  <si>
    <t>Max</t>
  </si>
  <si>
    <t>Normal</t>
  </si>
  <si>
    <t>139 or less</t>
  </si>
  <si>
    <t>89 or less</t>
  </si>
  <si>
    <t>Range</t>
  </si>
  <si>
    <t>Borderline</t>
  </si>
  <si>
    <t>140 to 159</t>
  </si>
  <si>
    <t>90 to 94</t>
  </si>
  <si>
    <t>Pressure</t>
  </si>
  <si>
    <t>Average</t>
  </si>
  <si>
    <t>High</t>
  </si>
  <si>
    <t>160 or more</t>
  </si>
  <si>
    <t>95 or more</t>
  </si>
  <si>
    <t>Std. Deviation</t>
  </si>
  <si>
    <t>Pulse Pressure = Systolic BP (Avg.) - Diastolic BP (Avg.)</t>
  </si>
  <si>
    <t>Avg. Pulse</t>
  </si>
  <si>
    <t>Power</t>
  </si>
  <si>
    <t>Dynamic Viscosity</t>
  </si>
  <si>
    <t>Heat Flux</t>
  </si>
  <si>
    <t>mile</t>
  </si>
  <si>
    <t>MMscf / hr</t>
  </si>
  <si>
    <t>psi</t>
  </si>
  <si>
    <t>hp</t>
  </si>
  <si>
    <t>hp . hr</t>
  </si>
  <si>
    <t>Long Ton</t>
  </si>
  <si>
    <t>centipoise</t>
  </si>
  <si>
    <t>centistoke</t>
  </si>
  <si>
    <t>lb / sec</t>
  </si>
  <si>
    <t>Btu / hr . ft . F</t>
  </si>
  <si>
    <t>Btu / lb</t>
  </si>
  <si>
    <t>Btu / lb . F</t>
  </si>
  <si>
    <t>yard</t>
  </si>
  <si>
    <t>bbl</t>
  </si>
  <si>
    <t>MMscf / day</t>
  </si>
  <si>
    <t>in Hg</t>
  </si>
  <si>
    <t>hp  (metric)</t>
  </si>
  <si>
    <t>Btu</t>
  </si>
  <si>
    <t>Short Ton</t>
  </si>
  <si>
    <t>gr / ml</t>
  </si>
  <si>
    <t>poise</t>
  </si>
  <si>
    <t>stoke</t>
  </si>
  <si>
    <t>lb / min</t>
  </si>
  <si>
    <t>cal / sec . cm . C</t>
  </si>
  <si>
    <t>cal / gr</t>
  </si>
  <si>
    <t>cal / gr . C</t>
  </si>
  <si>
    <t>Volume</t>
  </si>
  <si>
    <t>Energy</t>
  </si>
  <si>
    <t>Kinematic Viscosity</t>
  </si>
  <si>
    <t>Specific Energy</t>
  </si>
  <si>
    <t>ft</t>
  </si>
  <si>
    <t>Mscf / hr</t>
  </si>
  <si>
    <t>mm Hg</t>
  </si>
  <si>
    <t>ton  (refrig.)</t>
  </si>
  <si>
    <t>Metric Ton</t>
  </si>
  <si>
    <t>gr / lit</t>
  </si>
  <si>
    <t>Pa . sec</t>
  </si>
  <si>
    <t>lb / hr</t>
  </si>
  <si>
    <t>watt / cm . C</t>
  </si>
  <si>
    <t>joule / gr</t>
  </si>
  <si>
    <t>joule / gr . C</t>
  </si>
  <si>
    <t>in</t>
  </si>
  <si>
    <t>gal  (Imperial)</t>
  </si>
  <si>
    <t>Mscf / day</t>
  </si>
  <si>
    <t>bbl / hr</t>
  </si>
  <si>
    <t>Btu / min</t>
  </si>
  <si>
    <t>kW .  hr</t>
  </si>
  <si>
    <t>lb</t>
  </si>
  <si>
    <t>gr / gal</t>
  </si>
  <si>
    <t>lb / ft . hr</t>
  </si>
  <si>
    <t>lb / day</t>
  </si>
  <si>
    <t>kcal / hr . m . C</t>
  </si>
  <si>
    <t>cal / kg</t>
  </si>
  <si>
    <t>cal / kg . C</t>
  </si>
  <si>
    <t>km</t>
  </si>
  <si>
    <t>gal  (US)</t>
  </si>
  <si>
    <t>lb-mol / hr</t>
  </si>
  <si>
    <t>bbl / day</t>
  </si>
  <si>
    <t>Btu / hr</t>
  </si>
  <si>
    <t>Cal</t>
  </si>
  <si>
    <t>oz</t>
  </si>
  <si>
    <t>lb / ft . sec</t>
  </si>
  <si>
    <t>kg / sec</t>
  </si>
  <si>
    <t>watt / m . C</t>
  </si>
  <si>
    <t>joule / kg</t>
  </si>
  <si>
    <t>joule / kg . C</t>
  </si>
  <si>
    <t xml:space="preserve">m </t>
  </si>
  <si>
    <t>fl. oz</t>
  </si>
  <si>
    <t>lb-mol / day</t>
  </si>
  <si>
    <t>gal / min</t>
  </si>
  <si>
    <t>torr</t>
  </si>
  <si>
    <t>kW</t>
  </si>
  <si>
    <t>kCal</t>
  </si>
  <si>
    <t>kg</t>
  </si>
  <si>
    <t>kg / min</t>
  </si>
  <si>
    <t>Molar Flowrate</t>
  </si>
  <si>
    <t>Mass</t>
  </si>
  <si>
    <t>Mass Flowrate</t>
  </si>
  <si>
    <t>Specific Heat</t>
  </si>
  <si>
    <t>cm</t>
  </si>
  <si>
    <t>g-mol / hr</t>
  </si>
  <si>
    <t>gal / day</t>
  </si>
  <si>
    <t>atm</t>
  </si>
  <si>
    <t>Cal / sec</t>
  </si>
  <si>
    <t>joule</t>
  </si>
  <si>
    <t>gr</t>
  </si>
  <si>
    <t>kg / hr</t>
  </si>
  <si>
    <t>g-mol / day</t>
  </si>
  <si>
    <t>bar</t>
  </si>
  <si>
    <t>Cal / min</t>
  </si>
  <si>
    <t>W . sec</t>
  </si>
  <si>
    <t>mg</t>
  </si>
  <si>
    <t>lb / gal</t>
  </si>
  <si>
    <t>gr / cm . sec</t>
  </si>
  <si>
    <t>kg / day</t>
  </si>
  <si>
    <t>micron</t>
  </si>
  <si>
    <t>lit</t>
  </si>
  <si>
    <t>mbar</t>
  </si>
  <si>
    <t>Watt</t>
  </si>
  <si>
    <t>grain</t>
  </si>
  <si>
    <t>hectare</t>
  </si>
  <si>
    <t>lb / bbl</t>
  </si>
  <si>
    <t>kg / m . hr</t>
  </si>
  <si>
    <t>L ton / day</t>
  </si>
  <si>
    <t>Joule / sec</t>
  </si>
  <si>
    <t>lit . atm</t>
  </si>
  <si>
    <t>carat</t>
  </si>
  <si>
    <t>are</t>
  </si>
  <si>
    <t>S ton / day</t>
  </si>
  <si>
    <t>Volumetric Flowrate</t>
  </si>
  <si>
    <t>Density</t>
  </si>
  <si>
    <t>Heat Transfer Coefficient</t>
  </si>
  <si>
    <t>ml</t>
  </si>
  <si>
    <t>lit / sec</t>
  </si>
  <si>
    <t>kPa</t>
  </si>
  <si>
    <t>slug</t>
  </si>
  <si>
    <t>acre</t>
  </si>
  <si>
    <t>oz / gal</t>
  </si>
  <si>
    <t>M ton / day</t>
  </si>
  <si>
    <t>lit / min</t>
  </si>
  <si>
    <t>Pa</t>
  </si>
  <si>
    <t>SG  (liquid)</t>
  </si>
  <si>
    <t>lit / hr</t>
  </si>
  <si>
    <t>lit / day</t>
  </si>
  <si>
    <t>Area</t>
  </si>
  <si>
    <t>Thermal Conductivity</t>
  </si>
  <si>
    <t>PROCESS ENGINEERING TOOLKIT</t>
  </si>
  <si>
    <t>PROCESS &amp; CONTROL SYSTEMS DEPT.</t>
  </si>
  <si>
    <t>UPSTREAM PROCESS ENGINEERING</t>
  </si>
  <si>
    <t>UNIT CONVERSION PROGRAM</t>
  </si>
  <si>
    <t>Please contact mehryar.beyk@aramco.com if you have any suggestions to improve this program.</t>
  </si>
  <si>
    <r>
      <t xml:space="preserve">yard </t>
    </r>
    <r>
      <rPr>
        <vertAlign val="superscript"/>
        <sz val="8"/>
        <color indexed="9"/>
        <rFont val="Arial"/>
        <family val="2"/>
      </rPr>
      <t>3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</si>
  <si>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sec</t>
    </r>
  </si>
  <si>
    <r>
      <t>ft</t>
    </r>
    <r>
      <rPr>
        <vertAlign val="superscript"/>
        <sz val="8"/>
        <color indexed="9"/>
        <rFont val="Arial"/>
        <family val="2"/>
      </rPr>
      <t>2</t>
    </r>
  </si>
  <si>
    <r>
      <t>gr / cm</t>
    </r>
    <r>
      <rPr>
        <vertAlign val="superscript"/>
        <sz val="8"/>
        <color indexed="9"/>
        <rFont val="Arial"/>
        <family val="2"/>
      </rPr>
      <t>3</t>
    </r>
  </si>
  <si>
    <r>
      <t>Btu / hr . 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F</t>
    </r>
  </si>
  <si>
    <r>
      <t>Btu / hr . ft</t>
    </r>
    <r>
      <rPr>
        <vertAlign val="superscript"/>
        <sz val="8"/>
        <color indexed="9"/>
        <rFont val="Arial"/>
        <family val="2"/>
      </rPr>
      <t>2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</si>
  <si>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min</t>
    </r>
  </si>
  <si>
    <r>
      <t>in</t>
    </r>
    <r>
      <rPr>
        <vertAlign val="superscript"/>
        <sz val="8"/>
        <color indexed="9"/>
        <rFont val="Arial"/>
        <family val="2"/>
      </rPr>
      <t>2</t>
    </r>
  </si>
  <si>
    <r>
      <t>cal / sec . 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</si>
  <si>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cal / sec . cm</t>
    </r>
    <r>
      <rPr>
        <vertAlign val="superscript"/>
        <sz val="8"/>
        <color indexed="9"/>
        <rFont val="Arial"/>
        <family val="2"/>
      </rPr>
      <t>2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</si>
  <si>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</si>
  <si>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hr</t>
    </r>
  </si>
  <si>
    <r>
      <t>ft . lb</t>
    </r>
    <r>
      <rPr>
        <vertAlign val="subscript"/>
        <sz val="8"/>
        <color indexed="9"/>
        <rFont val="Arial"/>
        <family val="2"/>
      </rPr>
      <t>f</t>
    </r>
  </si>
  <si>
    <r>
      <t xml:space="preserve">yard </t>
    </r>
    <r>
      <rPr>
        <vertAlign val="superscript"/>
        <sz val="8"/>
        <color indexed="9"/>
        <rFont val="Arial"/>
        <family val="2"/>
      </rPr>
      <t>2</t>
    </r>
  </si>
  <si>
    <r>
      <t>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</si>
  <si>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>watt / 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</si>
  <si>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watt / cm</t>
    </r>
    <r>
      <rPr>
        <vertAlign val="superscript"/>
        <sz val="8"/>
        <color indexed="9"/>
        <rFont val="Arial"/>
        <family val="2"/>
      </rPr>
      <t>2</t>
    </r>
  </si>
  <si>
    <r>
      <t>ft H</t>
    </r>
    <r>
      <rPr>
        <vertAlign val="sub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O</t>
    </r>
  </si>
  <si>
    <r>
      <t xml:space="preserve">mile </t>
    </r>
    <r>
      <rPr>
        <vertAlign val="superscript"/>
        <sz val="8"/>
        <color indexed="9"/>
        <rFont val="Arial"/>
        <family val="2"/>
      </rPr>
      <t>2</t>
    </r>
  </si>
  <si>
    <r>
      <t>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hr</t>
    </r>
  </si>
  <si>
    <r>
      <t>kcal / hr . 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</si>
  <si>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kcal / hr . m</t>
    </r>
    <r>
      <rPr>
        <vertAlign val="superscript"/>
        <sz val="8"/>
        <color indexed="9"/>
        <rFont val="Arial"/>
        <family val="2"/>
      </rPr>
      <t>2</t>
    </r>
  </si>
  <si>
    <r>
      <t>in H</t>
    </r>
    <r>
      <rPr>
        <vertAlign val="sub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O</t>
    </r>
  </si>
  <si>
    <r>
      <t>mm</t>
    </r>
    <r>
      <rPr>
        <vertAlign val="superscript"/>
        <sz val="8"/>
        <color indexed="9"/>
        <rFont val="Arial"/>
        <family val="2"/>
      </rPr>
      <t>2</t>
    </r>
  </si>
  <si>
    <r>
      <t>kg / m</t>
    </r>
    <r>
      <rPr>
        <vertAlign val="superscript"/>
        <sz val="8"/>
        <color indexed="9"/>
        <rFont val="Arial"/>
        <family val="2"/>
      </rPr>
      <t>3</t>
    </r>
  </si>
  <si>
    <r>
      <t>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</si>
  <si>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>watt / 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</si>
  <si>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watt / m</t>
    </r>
    <r>
      <rPr>
        <vertAlign val="superscript"/>
        <sz val="8"/>
        <color indexed="9"/>
        <rFont val="Arial"/>
        <family val="2"/>
      </rPr>
      <t>2</t>
    </r>
  </si>
  <si>
    <r>
      <t>cm</t>
    </r>
    <r>
      <rPr>
        <vertAlign val="superscript"/>
        <sz val="8"/>
        <color indexed="9"/>
        <rFont val="Arial"/>
        <family val="2"/>
      </rPr>
      <t>2</t>
    </r>
  </si>
  <si>
    <r>
      <t>lb / in</t>
    </r>
    <r>
      <rPr>
        <vertAlign val="superscript"/>
        <sz val="8"/>
        <color indexed="9"/>
        <rFont val="Arial"/>
        <family val="2"/>
      </rPr>
      <t>3</t>
    </r>
  </si>
  <si>
    <r>
      <t>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. sec / ft2</t>
    </r>
  </si>
  <si>
    <r>
      <t>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hr</t>
    </r>
  </si>
  <si>
    <r>
      <t xml:space="preserve">in </t>
    </r>
    <r>
      <rPr>
        <vertAlign val="superscript"/>
        <sz val="8"/>
        <color indexed="9"/>
        <rFont val="Arial"/>
        <family val="2"/>
      </rPr>
      <t>3</t>
    </r>
  </si>
  <si>
    <r>
      <t>m</t>
    </r>
    <r>
      <rPr>
        <vertAlign val="superscript"/>
        <sz val="8"/>
        <color indexed="9"/>
        <rFont val="Arial"/>
        <family val="2"/>
      </rPr>
      <t>2</t>
    </r>
  </si>
  <si>
    <r>
      <t>lb / ft</t>
    </r>
    <r>
      <rPr>
        <vertAlign val="superscript"/>
        <sz val="8"/>
        <color indexed="9"/>
        <rFont val="Arial"/>
        <family val="2"/>
      </rPr>
      <t>3</t>
    </r>
  </si>
  <si>
    <r>
      <t>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. sec / in2</t>
    </r>
  </si>
  <si>
    <r>
      <t>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</si>
  <si>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</si>
  <si>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sec</t>
    </r>
  </si>
  <si>
    <r>
      <t>km</t>
    </r>
    <r>
      <rPr>
        <vertAlign val="superscript"/>
        <sz val="8"/>
        <color indexed="9"/>
        <rFont val="Arial"/>
        <family val="2"/>
      </rPr>
      <t>2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</si>
  <si>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min</t>
    </r>
  </si>
  <si>
    <r>
      <t>ft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in</t>
    </r>
    <r>
      <rPr>
        <vertAlign val="superscript"/>
        <sz val="8"/>
        <color indexed="9"/>
        <rFont val="Arial"/>
        <family val="2"/>
      </rPr>
      <t>2</t>
    </r>
  </si>
  <si>
    <r>
      <t xml:space="preserve">cm </t>
    </r>
    <r>
      <rPr>
        <vertAlign val="superscript"/>
        <sz val="8"/>
        <color indexed="9"/>
        <rFont val="Arial"/>
        <family val="2"/>
      </rPr>
      <t>3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</si>
  <si>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hr</t>
    </r>
  </si>
  <si>
    <r>
      <t>kg / cm</t>
    </r>
    <r>
      <rPr>
        <vertAlign val="superscript"/>
        <sz val="8"/>
        <color indexed="9"/>
        <rFont val="Arial"/>
        <family val="2"/>
      </rPr>
      <t>2</t>
    </r>
  </si>
  <si>
    <r>
      <t>oz / in</t>
    </r>
    <r>
      <rPr>
        <vertAlign val="superscript"/>
        <sz val="8"/>
        <color indexed="9"/>
        <rFont val="Arial"/>
        <family val="2"/>
      </rPr>
      <t>3</t>
    </r>
  </si>
  <si>
    <r>
      <t>ft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sec</t>
    </r>
  </si>
  <si>
    <r>
      <t>ft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min</t>
    </r>
  </si>
  <si>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</si>
  <si>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</si>
  <si>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</si>
  <si>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</si>
  <si>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</si>
  <si>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</si>
  <si>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</si>
  <si>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</si>
  <si>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</si>
  <si>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</si>
  <si>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</si>
  <si>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</si>
  <si>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</si>
  <si>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CHANGE THE YEAR HERE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</si>
  <si>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</si>
  <si>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</si>
  <si>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</si>
  <si>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</si>
  <si>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</si>
  <si>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</si>
  <si>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</si>
  <si>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</si>
  <si>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</si>
  <si>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</si>
  <si>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</si>
  <si>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</si>
  <si>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</si>
  <si>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</si>
  <si>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</si>
  <si>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</si>
  <si>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</si>
  <si>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</si>
  <si>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</si>
  <si>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</si>
  <si>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</si>
  <si>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</si>
  <si>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23/32</t>
  </si>
  <si>
    <t>1-11/32</t>
  </si>
  <si>
    <t>Q</t>
  </si>
  <si>
    <t>47/64</t>
  </si>
  <si>
    <t>13/64</t>
  </si>
  <si>
    <t>1-23/64</t>
  </si>
  <si>
    <t>3/4</t>
  </si>
  <si>
    <t>1-3/8</t>
  </si>
  <si>
    <t>R</t>
  </si>
  <si>
    <t>49/64</t>
  </si>
  <si>
    <t>1-25/64</t>
  </si>
  <si>
    <t>11/32</t>
  </si>
  <si>
    <t>25/32</t>
  </si>
  <si>
    <t>1-13/32</t>
  </si>
  <si>
    <t>51/64</t>
  </si>
  <si>
    <t>S</t>
  </si>
  <si>
    <t>1-27/64</t>
  </si>
  <si>
    <t>13/16</t>
  </si>
  <si>
    <t>1-7/16</t>
  </si>
  <si>
    <t>7/64</t>
  </si>
  <si>
    <t>7/32</t>
  </si>
  <si>
    <t>T</t>
  </si>
  <si>
    <t>53/64</t>
  </si>
  <si>
    <t>1-29/64</t>
  </si>
  <si>
    <t>27/32</t>
  </si>
  <si>
    <t>23/64</t>
  </si>
  <si>
    <t>1-15/32</t>
  </si>
  <si>
    <t>55/64</t>
  </si>
  <si>
    <t>1-31/64</t>
  </si>
  <si>
    <t>7/8</t>
  </si>
  <si>
    <t>U</t>
  </si>
  <si>
    <t>1-1/2</t>
  </si>
  <si>
    <t>57/64</t>
  </si>
  <si>
    <t>1-33/64</t>
  </si>
  <si>
    <t>A</t>
  </si>
  <si>
    <t>1/64</t>
  </si>
  <si>
    <t>1/32</t>
  </si>
  <si>
    <t>Bolt Circle Calculator</t>
  </si>
  <si>
    <t>Hole #</t>
  </si>
  <si>
    <t xml:space="preserve">X = </t>
  </si>
  <si>
    <t xml:space="preserve">Y = </t>
  </si>
  <si>
    <t>Enter First X &amp; Y as</t>
  </si>
  <si>
    <t>Incremental</t>
  </si>
  <si>
    <t xml:space="preserve">First X = </t>
  </si>
  <si>
    <t xml:space="preserve">First Y = </t>
  </si>
  <si>
    <t xml:space="preserve"># of Holes = </t>
  </si>
  <si>
    <t>Absolute</t>
  </si>
  <si>
    <t>Bolt Circle Center</t>
  </si>
  <si>
    <t>X Center =</t>
  </si>
  <si>
    <t>Y Center =</t>
  </si>
  <si>
    <t>The calculated</t>
  </si>
  <si>
    <t>coordinates are</t>
  </si>
  <si>
    <t>ABSOLUTE.</t>
  </si>
  <si>
    <t xml:space="preserve"> Each hole is apart by:</t>
  </si>
  <si>
    <t>Rotation of an " X &amp; Y " coordinate</t>
  </si>
  <si>
    <t>A negative Angle of Rotation is equal to a counter clockwise rotation</t>
  </si>
  <si>
    <t xml:space="preserve">Original X = </t>
  </si>
  <si>
    <t>Move</t>
  </si>
  <si>
    <t>New X</t>
  </si>
  <si>
    <t>New Y</t>
  </si>
  <si>
    <t xml:space="preserve">Original Y = </t>
  </si>
  <si>
    <t xml:space="preserve">Angle of Rotation (in degrees)  = </t>
  </si>
  <si>
    <t xml:space="preserve">Number of times rotated = </t>
  </si>
  <si>
    <t>15 max.</t>
  </si>
  <si>
    <t xml:space="preserve">Rotating Axis Absolute X Center = </t>
  </si>
  <si>
    <t xml:space="preserve">Rotating Axis Absolute Y Center = </t>
  </si>
  <si>
    <t xml:space="preserve">  -  X  +</t>
  </si>
  <si>
    <t>NOTE:</t>
  </si>
  <si>
    <t>The Original X &amp; Y</t>
  </si>
  <si>
    <t xml:space="preserve">X= -     </t>
  </si>
  <si>
    <t xml:space="preserve">        X= +</t>
  </si>
  <si>
    <t>should be entered</t>
  </si>
  <si>
    <t xml:space="preserve">+ </t>
  </si>
  <si>
    <t xml:space="preserve">Y= +    </t>
  </si>
  <si>
    <t xml:space="preserve">        Y= +</t>
  </si>
  <si>
    <t xml:space="preserve"> +</t>
  </si>
  <si>
    <t>as INCREMENTAL,</t>
  </si>
  <si>
    <t xml:space="preserve">Y </t>
  </si>
  <si>
    <t xml:space="preserve"> Y</t>
  </si>
  <si>
    <t>taken from the</t>
  </si>
  <si>
    <t xml:space="preserve">- </t>
  </si>
  <si>
    <t xml:space="preserve"> -</t>
  </si>
  <si>
    <t>center of the</t>
  </si>
  <si>
    <t xml:space="preserve">Y= -     </t>
  </si>
  <si>
    <t xml:space="preserve">        Y= -</t>
  </si>
  <si>
    <t>rotating axis.</t>
  </si>
  <si>
    <t>The New X &amp; Y will</t>
  </si>
  <si>
    <t>be ABSOLUTE.</t>
  </si>
  <si>
    <t>CONE FABRICATION</t>
  </si>
  <si>
    <t>This will help you to layout a cone on a flat surface.</t>
  </si>
  <si>
    <t>NOTE: This does not allow for material thickness.</t>
  </si>
  <si>
    <t>Inside</t>
  </si>
  <si>
    <t>Outside</t>
  </si>
  <si>
    <t>Segment</t>
  </si>
  <si>
    <t>Cone</t>
  </si>
  <si>
    <t>Radius</t>
  </si>
  <si>
    <t>Angle</t>
  </si>
  <si>
    <t>Width</t>
  </si>
  <si>
    <t>Length</t>
  </si>
  <si>
    <t>Inside Diameter</t>
  </si>
  <si>
    <t>Outside Diameter</t>
  </si>
  <si>
    <t>Cone Angle</t>
  </si>
  <si>
    <t>Cone Length</t>
  </si>
  <si>
    <t>Segment Width</t>
  </si>
  <si>
    <t>Degrees in Cone Segment</t>
  </si>
  <si>
    <t>Overlap in Degrees</t>
  </si>
  <si>
    <t>Circle Segment Calculator</t>
  </si>
  <si>
    <t>Enter TWO knowns</t>
  </si>
  <si>
    <t>h</t>
  </si>
  <si>
    <t>r</t>
  </si>
  <si>
    <t>Angle in degrees</t>
  </si>
  <si>
    <t xml:space="preserve">a= </t>
  </si>
  <si>
    <t>Chord Length</t>
  </si>
  <si>
    <t xml:space="preserve">c= </t>
  </si>
  <si>
    <t>Height</t>
  </si>
  <si>
    <t xml:space="preserve">h= </t>
  </si>
  <si>
    <t xml:space="preserve">r= </t>
  </si>
  <si>
    <t>Polygon Solver</t>
  </si>
  <si>
    <t>Must enter NUMBER OF EQUAL SIDES and one other</t>
  </si>
  <si>
    <t>IC</t>
  </si>
  <si>
    <t>OC</t>
  </si>
  <si>
    <t>Number of Equal Sides</t>
  </si>
  <si>
    <t xml:space="preserve">ES= </t>
  </si>
  <si>
    <t>Inner Circle Diameter</t>
  </si>
  <si>
    <t xml:space="preserve">IC= </t>
  </si>
  <si>
    <t>Outer Circle Diameter</t>
  </si>
  <si>
    <t xml:space="preserve">OC= </t>
  </si>
  <si>
    <t>Although a square is drawn, this will</t>
  </si>
  <si>
    <t>work with 3 equal sides and greater.</t>
  </si>
  <si>
    <t>Values of a Trigonometric Function</t>
  </si>
  <si>
    <t>You can enter DEGREES as a decimal and it will be converted to DEG,MIN,SEC.</t>
  </si>
  <si>
    <t xml:space="preserve">Sine = </t>
  </si>
  <si>
    <t xml:space="preserve">Cosine = </t>
  </si>
  <si>
    <t xml:space="preserve">Tangent = </t>
  </si>
  <si>
    <t>Total</t>
  </si>
  <si>
    <t xml:space="preserve">Cotangent = </t>
  </si>
  <si>
    <t>Sine bar length =</t>
  </si>
  <si>
    <t>millimeters</t>
  </si>
  <si>
    <t xml:space="preserve">Secant = </t>
  </si>
  <si>
    <t>NOTE: Enter the sine bar length above.</t>
  </si>
  <si>
    <t xml:space="preserve">Cosecant = </t>
  </si>
  <si>
    <t>The required height needed under one end</t>
  </si>
  <si>
    <t>of the sine bar to obtain the desired angle.</t>
  </si>
  <si>
    <t xml:space="preserve">Radians = </t>
  </si>
  <si>
    <t>Complete Listing</t>
  </si>
  <si>
    <t>Info from Decimal Selection</t>
  </si>
  <si>
    <t>From                        To</t>
  </si>
  <si>
    <t>Multiplier</t>
  </si>
  <si>
    <t>Offset from Look Up Data</t>
  </si>
  <si>
    <t>Abampere</t>
  </si>
  <si>
    <t>Ampere</t>
  </si>
  <si>
    <t>Faradays/sec (chem)</t>
  </si>
  <si>
    <t>Number &amp; Letter</t>
  </si>
  <si>
    <t>Statamperes</t>
  </si>
  <si>
    <t>Metric (mm)</t>
  </si>
  <si>
    <t>Abcoulomb</t>
  </si>
  <si>
    <t>Ampere - hours</t>
  </si>
  <si>
    <t xml:space="preserve">Coulomb </t>
  </si>
  <si>
    <t>Info from Fraction Selection</t>
  </si>
  <si>
    <t>Electronic charges</t>
  </si>
  <si>
    <t>Faradays (chem)</t>
  </si>
  <si>
    <t>Statcoulombs</t>
  </si>
  <si>
    <t>Abfarads</t>
  </si>
  <si>
    <t>Farads</t>
  </si>
  <si>
    <t>Info from Letter Selection</t>
  </si>
  <si>
    <t>Microfarads</t>
  </si>
  <si>
    <t>Statfarads</t>
  </si>
  <si>
    <t>Abhenries</t>
  </si>
  <si>
    <t>Henries</t>
  </si>
  <si>
    <t xml:space="preserve">Hectare or Square hectometer </t>
  </si>
  <si>
    <t>Info from Number Selection</t>
  </si>
  <si>
    <t xml:space="preserve">Square Chain (Gunter's) </t>
  </si>
  <si>
    <t xml:space="preserve">Square Links (Gunter's) </t>
  </si>
  <si>
    <t xml:space="preserve">Square Rods </t>
  </si>
  <si>
    <t>Acre-Feet</t>
  </si>
  <si>
    <t xml:space="preserve">Cubic Feet </t>
  </si>
  <si>
    <t>Info from Millimeters Selection</t>
  </si>
  <si>
    <t>Acres</t>
  </si>
  <si>
    <t xml:space="preserve">Square Feet </t>
  </si>
  <si>
    <t xml:space="preserve">Acres </t>
  </si>
  <si>
    <t xml:space="preserve">Square Meters </t>
  </si>
  <si>
    <t xml:space="preserve">Square Miles </t>
  </si>
  <si>
    <t xml:space="preserve">Square Yards </t>
  </si>
  <si>
    <t xml:space="preserve">Ampere-hours </t>
  </si>
  <si>
    <t xml:space="preserve">Coulombs </t>
  </si>
  <si>
    <t>Info from Convert Sheet</t>
  </si>
  <si>
    <t xml:space="preserve">Faradays </t>
  </si>
  <si>
    <t xml:space="preserve">Ampere-turns </t>
  </si>
  <si>
    <t xml:space="preserve">Gilberts </t>
  </si>
  <si>
    <t xml:space="preserve">Atmospheres </t>
  </si>
  <si>
    <t xml:space="preserve">Cms of Mercury </t>
  </si>
  <si>
    <t>Ft. of water (at 4 degrees C)</t>
  </si>
  <si>
    <t>In. of Mercury (at 0 degrees C)</t>
  </si>
  <si>
    <t>Solution</t>
  </si>
  <si>
    <t xml:space="preserve">Kgs/sq. cm </t>
  </si>
  <si>
    <t>Count Items</t>
  </si>
  <si>
    <t xml:space="preserve">Kgs/sq. meter </t>
  </si>
  <si>
    <t xml:space="preserve">Pounds/sq. Inch </t>
  </si>
  <si>
    <t xml:space="preserve">Ton/sq. Inch </t>
  </si>
  <si>
    <t xml:space="preserve">Tons/sq. Foot </t>
  </si>
  <si>
    <t xml:space="preserve">Barrels (oil) </t>
  </si>
  <si>
    <t xml:space="preserve">Gallons (oil) </t>
  </si>
  <si>
    <t xml:space="preserve">Barrels (US dry) </t>
  </si>
  <si>
    <t xml:space="preserve">Cubic. Inches </t>
  </si>
  <si>
    <t xml:space="preserve">Quarts (dry) </t>
  </si>
  <si>
    <t xml:space="preserve">Barrels (US, liquid) </t>
  </si>
  <si>
    <t xml:space="preserve">Barrels (US, dry) </t>
  </si>
  <si>
    <t xml:space="preserve">Gallons </t>
  </si>
  <si>
    <t>Bars</t>
  </si>
  <si>
    <t xml:space="preserve">Bars </t>
  </si>
  <si>
    <t xml:space="preserve">Dynes/sq. cm </t>
  </si>
  <si>
    <t xml:space="preserve">Pounds/sq. Foot </t>
  </si>
  <si>
    <t>Bolt of cloth</t>
  </si>
  <si>
    <t>Ells</t>
  </si>
  <si>
    <t>Linear feet</t>
  </si>
  <si>
    <t xml:space="preserve">BTU </t>
  </si>
  <si>
    <t xml:space="preserve">Ergs </t>
  </si>
  <si>
    <t xml:space="preserve">Foot-lbs </t>
  </si>
  <si>
    <t xml:space="preserve">Gram-Calories </t>
  </si>
  <si>
    <t xml:space="preserve">HorsePower-Hours </t>
  </si>
  <si>
    <t xml:space="preserve">Joules </t>
  </si>
  <si>
    <t xml:space="preserve">Kilogram-Calories </t>
  </si>
  <si>
    <t xml:space="preserve">Kilogram-meters </t>
  </si>
  <si>
    <t xml:space="preserve">Kilowatt-Hours </t>
  </si>
  <si>
    <t xml:space="preserve">BTU/Hour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</si>
</sst>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7" formatCode="&quot;$&quot;#,##0.00_);\(&quot;$&quot;#,##0.00\)"/>
    <numFmt numFmtId="43" formatCode="_(* #,##0.00_);_(* \(#,##0.00\);_(* &quot;-&quot;??_);_(@_)"/>
    <numFmt numFmtId="164" formatCode="0.0000_)"/>
    <numFmt numFmtId="165" formatCode="0.00_)"/>
    <numFmt numFmtId="166" formatCode="General_)"/>
    <numFmt numFmtId="167" formatCode="0.00000000_)"/>
    <numFmt numFmtId="168" formatCode="&quot;$&quot;#,##0.00_);&quot;$&quot;#,##0.00"/>
    <numFmt numFmtId="169" formatCode="0.000"/>
    <numFmt numFmtId="170" formatCode="0.0000"/>
    <numFmt numFmtId="171" formatCode=".0000_)"/>
    <numFmt numFmtId="172" formatCode="00"/>
    <numFmt numFmtId="173" formatCode="000"/>
    <numFmt numFmtId="174" formatCode=".000_)"/>
    <numFmt numFmtId="175" formatCode=".0000"/>
    <numFmt numFmtId="176" formatCode="mm/dd/yy"/>
  </numFmts>
  <fonts count="86">
    <font>
      <sz val="12"/>
      <name val="Arial"/>
    </font>
    <font>
      <b/>
      <sz val="10"/>
      <name val="Arial"/>
    </font>
    <font>
      <sz val="10"/>
      <name val="Arial"/>
    </font>
    <font>
      <sz val="12"/>
      <color indexed="12"/>
      <name val="Arial"/>
    </font>
    <font>
      <b/>
      <sz val="18"/>
      <name val="Arial"/>
    </font>
    <font>
      <b/>
      <sz val="12"/>
      <name val="Arial"/>
    </font>
    <font>
      <u/>
      <sz val="12"/>
      <name val="Arial"/>
    </font>
    <font>
      <sz val="12"/>
      <color indexed="10"/>
      <name val="Arial"/>
    </font>
    <font>
      <b/>
      <u/>
      <sz val="12"/>
      <name val="Arial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20"/>
      <name val="Arial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2"/>
      <color indexed="10"/>
      <name val="Arial"/>
      <family val="2"/>
    </font>
    <font>
      <b/>
      <u/>
      <sz val="12"/>
      <name val="Arial"/>
      <family val="2"/>
    </font>
    <font>
      <u/>
      <sz val="11"/>
      <color indexed="10"/>
      <name val="Arial"/>
      <family val="2"/>
    </font>
    <font>
      <sz val="10"/>
      <color indexed="12"/>
      <name val="Arial"/>
      <family val="2"/>
    </font>
    <font>
      <u/>
      <sz val="12"/>
      <color indexed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2"/>
      <name val="Arial"/>
    </font>
    <font>
      <b/>
      <sz val="20"/>
      <name val="Arial"/>
      <family val="2"/>
    </font>
    <font>
      <b/>
      <sz val="16"/>
      <name val="Arial"/>
      <family val="2"/>
    </font>
    <font>
      <sz val="12"/>
      <color indexed="14"/>
      <name val="Arial"/>
      <family val="2"/>
    </font>
    <font>
      <sz val="12"/>
      <color indexed="12"/>
      <name val="Arial"/>
      <family val="2"/>
    </font>
    <font>
      <sz val="16"/>
      <color indexed="81"/>
      <name val="Tahoma"/>
      <family val="2"/>
    </font>
    <font>
      <sz val="14"/>
      <color indexed="81"/>
      <name val="Tahoma"/>
      <family val="2"/>
    </font>
    <font>
      <b/>
      <u/>
      <sz val="14"/>
      <color indexed="81"/>
      <name val="Tahoma"/>
      <family val="2"/>
    </font>
    <font>
      <b/>
      <u/>
      <sz val="16"/>
      <color indexed="81"/>
      <name val="Tahoma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</font>
    <font>
      <sz val="8"/>
      <color indexed="9"/>
      <name val="Arial"/>
      <family val="2"/>
    </font>
    <font>
      <b/>
      <sz val="8"/>
      <color indexed="8"/>
      <name val="Arial"/>
    </font>
    <font>
      <vertAlign val="superscript"/>
      <sz val="8"/>
      <color indexed="9"/>
      <name val="Arial"/>
      <family val="2"/>
    </font>
    <font>
      <vertAlign val="subscript"/>
      <sz val="8"/>
      <color indexed="9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9"/>
      <name val="Arial"/>
    </font>
    <font>
      <sz val="10"/>
      <color indexed="9"/>
      <name val="Arial"/>
    </font>
    <font>
      <b/>
      <u/>
      <sz val="8"/>
      <color indexed="12"/>
      <name val="Arial"/>
      <family val="2"/>
    </font>
    <font>
      <b/>
      <sz val="6"/>
      <name val="Arial"/>
    </font>
    <font>
      <sz val="10"/>
      <name val="MS Sans Serif"/>
    </font>
    <font>
      <sz val="8"/>
      <name val="MS Sans Serif"/>
    </font>
    <font>
      <b/>
      <sz val="10"/>
      <name val="MS Sans Serif"/>
    </font>
    <font>
      <sz val="12"/>
      <name val="MS Sans Serif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name val="MS Sans Serif"/>
      <family val="2"/>
    </font>
    <font>
      <b/>
      <sz val="16"/>
      <color indexed="40"/>
      <name val="Comic Sans MS"/>
      <family val="4"/>
    </font>
    <font>
      <b/>
      <sz val="13.5"/>
      <color indexed="57"/>
      <name val="Comic Sans MS"/>
      <family val="4"/>
    </font>
    <font>
      <b/>
      <sz val="11"/>
      <name val="Arial"/>
      <family val="2"/>
      <charset val="178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9"/>
      <color indexed="18"/>
      <name val="Comic Sans MS"/>
      <family val="4"/>
    </font>
    <font>
      <b/>
      <sz val="8"/>
      <color indexed="9"/>
      <name val="MS Sans Serif"/>
    </font>
    <font>
      <b/>
      <sz val="10"/>
      <color indexed="62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8"/>
      <name val="Comic Sans MS"/>
      <family val="4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charset val="178"/>
    </font>
    <font>
      <b/>
      <sz val="11"/>
      <color indexed="17"/>
      <name val="Comic Sans MS"/>
      <family val="4"/>
    </font>
    <font>
      <b/>
      <sz val="11"/>
      <color indexed="46"/>
      <name val="Comic Sans MS"/>
      <family val="4"/>
    </font>
    <font>
      <sz val="10"/>
      <color indexed="10"/>
      <name val="Comic Sans MS"/>
      <family val="4"/>
    </font>
    <font>
      <b/>
      <i/>
      <sz val="10"/>
      <color indexed="14"/>
      <name val="Times New Roman"/>
      <family val="1"/>
      <charset val="178"/>
    </font>
    <font>
      <b/>
      <i/>
      <sz val="11"/>
      <color indexed="12"/>
      <name val="Times New Roman"/>
      <charset val="178"/>
    </font>
    <font>
      <b/>
      <sz val="12"/>
      <color indexed="12"/>
      <name val="NewBrunswick"/>
    </font>
    <font>
      <sz val="5"/>
      <name val="MS Sans Serif"/>
      <charset val="178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lightTrellis"/>
    </fill>
    <fill>
      <patternFill patternType="solid">
        <fgColor indexed="9"/>
        <bgColor indexed="64"/>
      </patternFill>
    </fill>
    <fill>
      <patternFill patternType="solid">
        <fgColor indexed="15"/>
        <bgColor indexed="27"/>
      </patternFill>
    </fill>
    <fill>
      <patternFill patternType="solid">
        <fgColor indexed="13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27"/>
      </patternFill>
    </fill>
    <fill>
      <patternFill patternType="solid">
        <fgColor indexed="9"/>
        <bgColor indexed="27"/>
      </patternFill>
    </fill>
  </fills>
  <borders count="1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89">
    <xf numFmtId="0" fontId="0" fillId="0" borderId="0" xfId="0"/>
    <xf numFmtId="165" fontId="0" fillId="0" borderId="0" xfId="0" applyNumberFormat="1"/>
    <xf numFmtId="164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2" borderId="2" xfId="0" applyFill="1" applyBorder="1" applyAlignment="1">
      <alignment horizontal="centerContinuous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4" fillId="2" borderId="3" xfId="0" applyFont="1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3" fillId="0" borderId="8" xfId="0" applyFont="1" applyBorder="1" applyProtection="1">
      <protection locked="0"/>
    </xf>
    <xf numFmtId="0" fontId="0" fillId="2" borderId="0" xfId="0" applyFill="1" applyAlignment="1">
      <alignment horizontal="left"/>
    </xf>
    <xf numFmtId="0" fontId="7" fillId="2" borderId="0" xfId="0" applyFont="1" applyFill="1"/>
    <xf numFmtId="0" fontId="0" fillId="2" borderId="7" xfId="0" applyFill="1" applyBorder="1" applyAlignment="1">
      <alignment horizontal="left"/>
    </xf>
    <xf numFmtId="0" fontId="0" fillId="2" borderId="0" xfId="0" applyFill="1"/>
    <xf numFmtId="0" fontId="0" fillId="2" borderId="7" xfId="0" applyFill="1" applyBorder="1"/>
    <xf numFmtId="0" fontId="3" fillId="0" borderId="9" xfId="0" applyFont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0" fontId="3" fillId="0" borderId="10" xfId="0" applyFont="1" applyBorder="1" applyProtection="1">
      <protection locked="0"/>
    </xf>
    <xf numFmtId="0" fontId="0" fillId="2" borderId="12" xfId="0" applyFill="1" applyBorder="1"/>
    <xf numFmtId="0" fontId="4" fillId="2" borderId="4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6" fillId="2" borderId="6" xfId="0" applyFont="1" applyFill="1" applyBorder="1" applyAlignment="1">
      <alignment horizontal="centerContinuous"/>
    </xf>
    <xf numFmtId="7" fontId="0" fillId="2" borderId="0" xfId="0" applyNumberFormat="1" applyFill="1"/>
    <xf numFmtId="0" fontId="0" fillId="2" borderId="6" xfId="0" applyFill="1" applyBorder="1"/>
    <xf numFmtId="0" fontId="0" fillId="2" borderId="9" xfId="0" applyFill="1" applyBorder="1"/>
    <xf numFmtId="0" fontId="0" fillId="3" borderId="0" xfId="0" applyFill="1"/>
    <xf numFmtId="0" fontId="0" fillId="3" borderId="7" xfId="0" applyFill="1" applyBorder="1"/>
    <xf numFmtId="0" fontId="0" fillId="2" borderId="3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14" xfId="0" applyFill="1" applyBorder="1"/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7" fontId="5" fillId="2" borderId="0" xfId="0" applyNumberFormat="1" applyFont="1" applyFill="1"/>
    <xf numFmtId="0" fontId="0" fillId="2" borderId="9" xfId="0" applyFill="1" applyBorder="1" applyAlignment="1">
      <alignment horizontal="center"/>
    </xf>
    <xf numFmtId="7" fontId="0" fillId="2" borderId="10" xfId="0" applyNumberFormat="1" applyFill="1" applyBorder="1"/>
    <xf numFmtId="7" fontId="3" fillId="0" borderId="1" xfId="0" applyNumberFormat="1" applyFont="1" applyBorder="1" applyProtection="1">
      <protection locked="0"/>
    </xf>
    <xf numFmtId="7" fontId="3" fillId="0" borderId="15" xfId="0" applyNumberFormat="1" applyFont="1" applyBorder="1" applyProtection="1">
      <protection locked="0"/>
    </xf>
    <xf numFmtId="0" fontId="0" fillId="3" borderId="0" xfId="0" applyFill="1" applyAlignment="1">
      <alignment horizontal="right"/>
    </xf>
    <xf numFmtId="7" fontId="0" fillId="3" borderId="7" xfId="0" applyNumberFormat="1" applyFill="1" applyBorder="1"/>
    <xf numFmtId="0" fontId="0" fillId="2" borderId="6" xfId="0" applyFill="1" applyBorder="1" applyAlignment="1">
      <alignment horizontal="centerContinuous"/>
    </xf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0" fillId="2" borderId="6" xfId="0" applyFill="1" applyBorder="1" applyAlignment="1">
      <alignment horizontal="right"/>
    </xf>
    <xf numFmtId="166" fontId="0" fillId="2" borderId="6" xfId="0" applyNumberFormat="1" applyFill="1" applyBorder="1"/>
    <xf numFmtId="0" fontId="0" fillId="2" borderId="10" xfId="0" applyFill="1" applyBorder="1" applyAlignment="1">
      <alignment horizontal="right"/>
    </xf>
    <xf numFmtId="0" fontId="0" fillId="2" borderId="0" xfId="0" applyFill="1" applyAlignment="1">
      <alignment horizontal="center" vertical="top"/>
    </xf>
    <xf numFmtId="0" fontId="0" fillId="2" borderId="5" xfId="0" applyFill="1" applyBorder="1"/>
    <xf numFmtId="0" fontId="6" fillId="2" borderId="0" xfId="0" applyFont="1" applyFill="1" applyAlignment="1">
      <alignment horizontal="centerContinuous"/>
    </xf>
    <xf numFmtId="0" fontId="4" fillId="2" borderId="16" xfId="0" applyFont="1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/>
    <xf numFmtId="0" fontId="0" fillId="2" borderId="19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22" xfId="0" applyFill="1" applyBorder="1"/>
    <xf numFmtId="0" fontId="0" fillId="2" borderId="22" xfId="0" applyFill="1" applyBorder="1" applyAlignment="1">
      <alignment horizontal="left"/>
    </xf>
    <xf numFmtId="0" fontId="0" fillId="2" borderId="23" xfId="0" applyFill="1" applyBorder="1"/>
    <xf numFmtId="0" fontId="4" fillId="2" borderId="17" xfId="0" applyFont="1" applyFill="1" applyBorder="1" applyAlignment="1">
      <alignment horizontal="centerContinuous"/>
    </xf>
    <xf numFmtId="0" fontId="4" fillId="2" borderId="18" xfId="0" applyFont="1" applyFill="1" applyBorder="1" applyAlignment="1">
      <alignment horizontal="centerContinuous"/>
    </xf>
    <xf numFmtId="0" fontId="0" fillId="3" borderId="21" xfId="0" applyFill="1" applyBorder="1"/>
    <xf numFmtId="0" fontId="0" fillId="3" borderId="22" xfId="0" applyFill="1" applyBorder="1"/>
    <xf numFmtId="166" fontId="0" fillId="2" borderId="24" xfId="0" applyNumberFormat="1" applyFill="1" applyBorder="1"/>
    <xf numFmtId="7" fontId="3" fillId="0" borderId="25" xfId="0" applyNumberFormat="1" applyFont="1" applyBorder="1" applyProtection="1">
      <protection locked="0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9" fillId="2" borderId="6" xfId="0" applyFont="1" applyFill="1" applyBorder="1" applyAlignment="1">
      <alignment horizontal="centerContinuous"/>
    </xf>
    <xf numFmtId="164" fontId="0" fillId="2" borderId="0" xfId="0" applyNumberFormat="1" applyFill="1" applyAlignment="1">
      <alignment horizontal="center"/>
    </xf>
    <xf numFmtId="0" fontId="2" fillId="0" borderId="0" xfId="5"/>
    <xf numFmtId="0" fontId="2" fillId="0" borderId="0" xfId="5" applyAlignment="1">
      <alignment horizontal="right"/>
    </xf>
    <xf numFmtId="0" fontId="2" fillId="0" borderId="0" xfId="5" applyProtection="1">
      <protection locked="0"/>
    </xf>
    <xf numFmtId="0" fontId="2" fillId="2" borderId="0" xfId="5" applyFill="1"/>
    <xf numFmtId="0" fontId="2" fillId="2" borderId="0" xfId="5" applyFill="1" applyAlignment="1">
      <alignment horizontal="right"/>
    </xf>
    <xf numFmtId="0" fontId="2" fillId="2" borderId="0" xfId="5" applyFill="1" applyAlignment="1">
      <alignment horizontal="center"/>
    </xf>
    <xf numFmtId="0" fontId="2" fillId="2" borderId="6" xfId="5" applyFill="1" applyBorder="1"/>
    <xf numFmtId="0" fontId="2" fillId="2" borderId="7" xfId="5" applyFill="1" applyBorder="1"/>
    <xf numFmtId="164" fontId="11" fillId="2" borderId="17" xfId="0" applyNumberFormat="1" applyFont="1" applyFill="1" applyBorder="1" applyAlignment="1">
      <alignment horizontal="centerContinuous"/>
    </xf>
    <xf numFmtId="164" fontId="11" fillId="2" borderId="16" xfId="0" applyNumberFormat="1" applyFont="1" applyFill="1" applyBorder="1" applyAlignment="1">
      <alignment horizontal="centerContinuous"/>
    </xf>
    <xf numFmtId="164" fontId="0" fillId="2" borderId="19" xfId="0" applyNumberFormat="1" applyFill="1" applyBorder="1"/>
    <xf numFmtId="164" fontId="11" fillId="2" borderId="18" xfId="0" applyNumberFormat="1" applyFont="1" applyFill="1" applyBorder="1" applyAlignment="1">
      <alignment horizontal="centerContinuous"/>
    </xf>
    <xf numFmtId="0" fontId="0" fillId="2" borderId="19" xfId="0" applyFill="1" applyBorder="1" applyAlignment="1">
      <alignment horizontal="left"/>
    </xf>
    <xf numFmtId="0" fontId="0" fillId="2" borderId="22" xfId="0" applyFill="1" applyBorder="1" applyAlignment="1">
      <alignment horizontal="right"/>
    </xf>
    <xf numFmtId="164" fontId="0" fillId="2" borderId="0" xfId="0" applyNumberFormat="1" applyFill="1" applyAlignment="1">
      <alignment horizontal="centerContinuous"/>
    </xf>
    <xf numFmtId="164" fontId="0" fillId="2" borderId="19" xfId="0" applyNumberFormat="1" applyFill="1" applyBorder="1" applyAlignment="1">
      <alignment horizontal="right"/>
    </xf>
    <xf numFmtId="164" fontId="13" fillId="2" borderId="19" xfId="0" applyNumberFormat="1" applyFont="1" applyFill="1" applyBorder="1" applyAlignment="1">
      <alignment horizontal="centerContinuous"/>
    </xf>
    <xf numFmtId="164" fontId="9" fillId="3" borderId="28" xfId="0" applyNumberFormat="1" applyFont="1" applyFill="1" applyBorder="1" applyAlignment="1">
      <alignment horizontal="centerContinuous"/>
    </xf>
    <xf numFmtId="164" fontId="15" fillId="3" borderId="29" xfId="0" applyNumberFormat="1" applyFont="1" applyFill="1" applyBorder="1" applyAlignment="1">
      <alignment horizontal="centerContinuous"/>
    </xf>
    <xf numFmtId="0" fontId="15" fillId="3" borderId="29" xfId="0" applyFont="1" applyFill="1" applyBorder="1" applyAlignment="1">
      <alignment horizontal="centerContinuous"/>
    </xf>
    <xf numFmtId="0" fontId="15" fillId="3" borderId="30" xfId="0" applyFont="1" applyFill="1" applyBorder="1" applyAlignment="1">
      <alignment horizontal="centerContinuous"/>
    </xf>
    <xf numFmtId="164" fontId="15" fillId="3" borderId="0" xfId="0" applyNumberFormat="1" applyFont="1" applyFill="1" applyAlignment="1">
      <alignment horizontal="centerContinuous"/>
    </xf>
    <xf numFmtId="0" fontId="15" fillId="3" borderId="0" xfId="0" applyFont="1" applyFill="1" applyAlignment="1">
      <alignment horizontal="centerContinuous"/>
    </xf>
    <xf numFmtId="0" fontId="15" fillId="3" borderId="20" xfId="0" applyFont="1" applyFill="1" applyBorder="1" applyAlignment="1">
      <alignment horizontal="centerContinuous"/>
    </xf>
    <xf numFmtId="166" fontId="15" fillId="3" borderId="31" xfId="0" applyNumberFormat="1" applyFont="1" applyFill="1" applyBorder="1"/>
    <xf numFmtId="0" fontId="15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20" xfId="0" applyFont="1" applyFill="1" applyBorder="1" applyAlignment="1">
      <alignment horizontal="left"/>
    </xf>
    <xf numFmtId="166" fontId="15" fillId="3" borderId="32" xfId="0" applyNumberFormat="1" applyFont="1" applyFill="1" applyBorder="1"/>
    <xf numFmtId="166" fontId="15" fillId="3" borderId="33" xfId="0" applyNumberFormat="1" applyFont="1" applyFill="1" applyBorder="1"/>
    <xf numFmtId="0" fontId="15" fillId="3" borderId="34" xfId="0" applyFont="1" applyFill="1" applyBorder="1" applyAlignment="1">
      <alignment horizontal="left"/>
    </xf>
    <xf numFmtId="0" fontId="15" fillId="3" borderId="34" xfId="0" applyFont="1" applyFill="1" applyBorder="1"/>
    <xf numFmtId="0" fontId="15" fillId="3" borderId="35" xfId="0" applyFont="1" applyFill="1" applyBorder="1"/>
    <xf numFmtId="164" fontId="16" fillId="2" borderId="19" xfId="0" applyNumberFormat="1" applyFont="1" applyFill="1" applyBorder="1" applyAlignment="1">
      <alignment horizontal="centerContinuous"/>
    </xf>
    <xf numFmtId="164" fontId="5" fillId="2" borderId="0" xfId="0" applyNumberFormat="1" applyFont="1" applyFill="1" applyAlignment="1">
      <alignment horizontal="centerContinuous"/>
    </xf>
    <xf numFmtId="164" fontId="5" fillId="2" borderId="19" xfId="0" applyNumberFormat="1" applyFont="1" applyFill="1" applyBorder="1" applyAlignment="1">
      <alignment horizontal="centerContinuous"/>
    </xf>
    <xf numFmtId="0" fontId="14" fillId="2" borderId="0" xfId="0" applyFont="1" applyFill="1" applyAlignment="1">
      <alignment horizontal="right"/>
    </xf>
    <xf numFmtId="164" fontId="14" fillId="2" borderId="0" xfId="0" applyNumberFormat="1" applyFont="1" applyFill="1" applyAlignment="1">
      <alignment vertical="top"/>
    </xf>
    <xf numFmtId="164" fontId="14" fillId="2" borderId="0" xfId="0" applyNumberFormat="1" applyFont="1" applyFill="1" applyAlignment="1">
      <alignment horizontal="center" vertical="top"/>
    </xf>
    <xf numFmtId="164" fontId="14" fillId="2" borderId="0" xfId="0" applyNumberFormat="1" applyFont="1" applyFill="1" applyAlignment="1">
      <alignment horizontal="left" vertical="top"/>
    </xf>
    <xf numFmtId="164" fontId="14" fillId="2" borderId="20" xfId="0" applyNumberFormat="1" applyFont="1" applyFill="1" applyBorder="1" applyAlignment="1">
      <alignment horizontal="left" vertical="top"/>
    </xf>
    <xf numFmtId="164" fontId="17" fillId="3" borderId="31" xfId="0" applyNumberFormat="1" applyFont="1" applyFill="1" applyBorder="1" applyAlignment="1">
      <alignment horizontal="centerContinuous"/>
    </xf>
    <xf numFmtId="167" fontId="0" fillId="2" borderId="7" xfId="0" applyNumberForma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1" fontId="0" fillId="2" borderId="0" xfId="0" applyNumberFormat="1" applyFill="1"/>
    <xf numFmtId="166" fontId="0" fillId="0" borderId="0" xfId="0" applyNumberFormat="1"/>
    <xf numFmtId="1" fontId="0" fillId="2" borderId="10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0" fontId="7" fillId="2" borderId="6" xfId="0" applyFont="1" applyFill="1" applyBorder="1"/>
    <xf numFmtId="2" fontId="0" fillId="2" borderId="0" xfId="0" applyNumberFormat="1" applyFill="1"/>
    <xf numFmtId="2" fontId="15" fillId="3" borderId="0" xfId="0" applyNumberFormat="1" applyFont="1" applyFill="1"/>
    <xf numFmtId="0" fontId="18" fillId="0" borderId="36" xfId="5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14" fillId="2" borderId="0" xfId="0" applyFont="1" applyFill="1" applyAlignment="1">
      <alignment horizontal="center"/>
    </xf>
    <xf numFmtId="0" fontId="14" fillId="2" borderId="7" xfId="0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164" fontId="20" fillId="0" borderId="1" xfId="0" applyNumberFormat="1" applyFont="1" applyBorder="1" applyAlignment="1" applyProtection="1">
      <alignment horizontal="center"/>
      <protection locked="0"/>
    </xf>
    <xf numFmtId="1" fontId="20" fillId="0" borderId="1" xfId="0" applyNumberFormat="1" applyFont="1" applyBorder="1" applyAlignment="1" applyProtection="1">
      <alignment horizontal="center"/>
      <protection locked="0"/>
    </xf>
    <xf numFmtId="0" fontId="21" fillId="2" borderId="38" xfId="0" applyFont="1" applyFill="1" applyBorder="1" applyAlignment="1">
      <alignment horizontal="center"/>
    </xf>
    <xf numFmtId="164" fontId="21" fillId="2" borderId="0" xfId="0" applyNumberFormat="1" applyFont="1" applyFill="1" applyAlignment="1">
      <alignment vertical="top"/>
    </xf>
    <xf numFmtId="1" fontId="21" fillId="2" borderId="0" xfId="0" applyNumberFormat="1" applyFont="1" applyFill="1" applyAlignment="1">
      <alignment horizontal="left" vertical="top"/>
    </xf>
    <xf numFmtId="164" fontId="21" fillId="2" borderId="0" xfId="0" applyNumberFormat="1" applyFont="1" applyFill="1"/>
    <xf numFmtId="0" fontId="21" fillId="2" borderId="20" xfId="0" applyFont="1" applyFill="1" applyBorder="1" applyAlignment="1">
      <alignment horizontal="left"/>
    </xf>
    <xf numFmtId="0" fontId="21" fillId="2" borderId="0" xfId="0" applyFont="1" applyFill="1" applyAlignment="1">
      <alignment horizontal="left"/>
    </xf>
    <xf numFmtId="0" fontId="21" fillId="2" borderId="39" xfId="0" applyFont="1" applyFill="1" applyBorder="1" applyAlignment="1">
      <alignment horizontal="center"/>
    </xf>
    <xf numFmtId="164" fontId="21" fillId="2" borderId="22" xfId="0" applyNumberFormat="1" applyFont="1" applyFill="1" applyBorder="1"/>
    <xf numFmtId="0" fontId="21" fillId="2" borderId="22" xfId="0" applyFont="1" applyFill="1" applyBorder="1" applyAlignment="1">
      <alignment horizontal="left"/>
    </xf>
    <xf numFmtId="0" fontId="21" fillId="2" borderId="23" xfId="0" applyFont="1" applyFill="1" applyBorder="1" applyAlignment="1">
      <alignment horizontal="left"/>
    </xf>
    <xf numFmtId="0" fontId="22" fillId="2" borderId="10" xfId="0" applyFont="1" applyFill="1" applyBorder="1" applyAlignment="1">
      <alignment horizontal="right"/>
    </xf>
    <xf numFmtId="168" fontId="22" fillId="2" borderId="10" xfId="0" applyNumberFormat="1" applyFont="1" applyFill="1" applyBorder="1" applyAlignment="1">
      <alignment horizontal="center"/>
    </xf>
    <xf numFmtId="0" fontId="22" fillId="2" borderId="10" xfId="0" applyFont="1" applyFill="1" applyBorder="1" applyAlignment="1">
      <alignment horizontal="left"/>
    </xf>
    <xf numFmtId="0" fontId="22" fillId="2" borderId="10" xfId="0" applyFont="1" applyFill="1" applyBorder="1"/>
    <xf numFmtId="0" fontId="14" fillId="2" borderId="19" xfId="0" applyFont="1" applyFill="1" applyBorder="1" applyAlignment="1">
      <alignment horizontal="centerContinuous"/>
    </xf>
    <xf numFmtId="0" fontId="0" fillId="2" borderId="40" xfId="0" applyFill="1" applyBorder="1" applyAlignment="1">
      <alignment horizontal="center"/>
    </xf>
    <xf numFmtId="164" fontId="0" fillId="2" borderId="31" xfId="0" applyNumberForma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21" fillId="2" borderId="10" xfId="0" applyFont="1" applyFill="1" applyBorder="1" applyAlignment="1">
      <alignment horizontal="right"/>
    </xf>
    <xf numFmtId="7" fontId="0" fillId="0" borderId="0" xfId="0" applyNumberFormat="1"/>
    <xf numFmtId="166" fontId="3" fillId="0" borderId="1" xfId="0" applyNumberFormat="1" applyFont="1" applyBorder="1" applyProtection="1">
      <protection locked="0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0" fontId="14" fillId="0" borderId="0" xfId="0" applyFont="1"/>
    <xf numFmtId="7" fontId="14" fillId="0" borderId="0" xfId="0" applyNumberFormat="1" applyFont="1"/>
    <xf numFmtId="1" fontId="3" fillId="0" borderId="1" xfId="0" applyNumberFormat="1" applyFont="1" applyBorder="1" applyProtection="1">
      <protection locked="0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1" fillId="0" borderId="0" xfId="0" applyFont="1"/>
    <xf numFmtId="0" fontId="0" fillId="3" borderId="44" xfId="0" applyFill="1" applyBorder="1"/>
    <xf numFmtId="0" fontId="6" fillId="2" borderId="17" xfId="0" applyFont="1" applyFill="1" applyBorder="1" applyAlignment="1">
      <alignment horizontal="centerContinuous"/>
    </xf>
    <xf numFmtId="0" fontId="6" fillId="2" borderId="19" xfId="0" applyFont="1" applyFill="1" applyBorder="1" applyAlignment="1">
      <alignment horizontal="centerContinuous"/>
    </xf>
    <xf numFmtId="169" fontId="0" fillId="0" borderId="0" xfId="0" applyNumberFormat="1"/>
    <xf numFmtId="16" fontId="0" fillId="0" borderId="0" xfId="0" applyNumberFormat="1"/>
    <xf numFmtId="0" fontId="0" fillId="2" borderId="21" xfId="0" applyFill="1" applyBorder="1"/>
    <xf numFmtId="0" fontId="0" fillId="2" borderId="45" xfId="0" applyFill="1" applyBorder="1" applyAlignment="1">
      <alignment horizontal="centerContinuous"/>
    </xf>
    <xf numFmtId="0" fontId="0" fillId="2" borderId="42" xfId="0" applyFill="1" applyBorder="1" applyAlignment="1">
      <alignment horizontal="centerContinuous"/>
    </xf>
    <xf numFmtId="0" fontId="0" fillId="2" borderId="41" xfId="0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5" fillId="3" borderId="42" xfId="0" applyFont="1" applyFill="1" applyBorder="1" applyAlignment="1">
      <alignment horizontal="center"/>
    </xf>
    <xf numFmtId="0" fontId="15" fillId="3" borderId="46" xfId="0" applyFont="1" applyFill="1" applyBorder="1" applyAlignment="1">
      <alignment horizontal="center"/>
    </xf>
    <xf numFmtId="0" fontId="15" fillId="3" borderId="47" xfId="0" applyFont="1" applyFill="1" applyBorder="1" applyAlignment="1">
      <alignment horizontal="center"/>
    </xf>
    <xf numFmtId="0" fontId="15" fillId="3" borderId="48" xfId="0" applyFont="1" applyFill="1" applyBorder="1" applyAlignment="1">
      <alignment horizontal="center"/>
    </xf>
    <xf numFmtId="0" fontId="15" fillId="3" borderId="49" xfId="0" applyFont="1" applyFill="1" applyBorder="1" applyAlignment="1">
      <alignment horizontal="center"/>
    </xf>
    <xf numFmtId="0" fontId="14" fillId="2" borderId="0" xfId="0" applyFont="1" applyFill="1"/>
    <xf numFmtId="0" fontId="13" fillId="2" borderId="19" xfId="0" applyFont="1" applyFill="1" applyBorder="1" applyAlignment="1">
      <alignment horizontal="centerContinuous"/>
    </xf>
    <xf numFmtId="0" fontId="24" fillId="0" borderId="0" xfId="0" applyFont="1"/>
    <xf numFmtId="0" fontId="24" fillId="2" borderId="50" xfId="0" applyFont="1" applyFill="1" applyBorder="1" applyAlignment="1">
      <alignment horizontal="center" textRotation="180"/>
    </xf>
    <xf numFmtId="0" fontId="24" fillId="2" borderId="51" xfId="0" applyFont="1" applyFill="1" applyBorder="1" applyAlignment="1">
      <alignment horizontal="center" textRotation="180"/>
    </xf>
    <xf numFmtId="0" fontId="24" fillId="2" borderId="52" xfId="0" applyFont="1" applyFill="1" applyBorder="1" applyAlignment="1">
      <alignment horizontal="center" textRotation="180"/>
    </xf>
    <xf numFmtId="0" fontId="24" fillId="2" borderId="21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165" fontId="24" fillId="2" borderId="0" xfId="0" applyNumberFormat="1" applyFont="1" applyFill="1" applyAlignment="1">
      <alignment vertical="center"/>
    </xf>
    <xf numFmtId="165" fontId="24" fillId="2" borderId="20" xfId="0" applyNumberFormat="1" applyFont="1" applyFill="1" applyBorder="1" applyAlignment="1">
      <alignment vertical="center"/>
    </xf>
    <xf numFmtId="0" fontId="24" fillId="2" borderId="19" xfId="0" applyFont="1" applyFill="1" applyBorder="1" applyAlignment="1">
      <alignment vertical="center"/>
    </xf>
    <xf numFmtId="165" fontId="24" fillId="2" borderId="22" xfId="0" applyNumberFormat="1" applyFont="1" applyFill="1" applyBorder="1" applyAlignment="1">
      <alignment vertical="center"/>
    </xf>
    <xf numFmtId="171" fontId="25" fillId="2" borderId="0" xfId="0" applyNumberFormat="1" applyFont="1" applyFill="1" applyAlignment="1">
      <alignment vertical="center"/>
    </xf>
    <xf numFmtId="171" fontId="25" fillId="2" borderId="22" xfId="0" applyNumberFormat="1" applyFont="1" applyFill="1" applyBorder="1" applyAlignment="1">
      <alignment vertical="center"/>
    </xf>
    <xf numFmtId="2" fontId="24" fillId="2" borderId="0" xfId="0" applyNumberFormat="1" applyFont="1" applyFill="1" applyAlignment="1">
      <alignment vertical="center"/>
    </xf>
    <xf numFmtId="2" fontId="24" fillId="2" borderId="0" xfId="0" applyNumberFormat="1" applyFont="1" applyFill="1" applyAlignment="1">
      <alignment horizontal="center" vertical="center"/>
    </xf>
    <xf numFmtId="2" fontId="24" fillId="2" borderId="20" xfId="0" applyNumberFormat="1" applyFont="1" applyFill="1" applyBorder="1" applyAlignment="1">
      <alignment vertical="center"/>
    </xf>
    <xf numFmtId="165" fontId="24" fillId="2" borderId="0" xfId="0" applyNumberFormat="1" applyFont="1" applyFill="1" applyAlignment="1">
      <alignment horizontal="center" vertical="center"/>
    </xf>
    <xf numFmtId="2" fontId="24" fillId="2" borderId="22" xfId="0" applyNumberFormat="1" applyFont="1" applyFill="1" applyBorder="1" applyAlignment="1">
      <alignment vertical="center"/>
    </xf>
    <xf numFmtId="0" fontId="24" fillId="2" borderId="21" xfId="0" applyFont="1" applyFill="1" applyBorder="1" applyAlignment="1">
      <alignment vertical="center"/>
    </xf>
    <xf numFmtId="2" fontId="24" fillId="2" borderId="23" xfId="0" applyNumberFormat="1" applyFont="1" applyFill="1" applyBorder="1" applyAlignment="1">
      <alignment vertical="center"/>
    </xf>
    <xf numFmtId="165" fontId="24" fillId="2" borderId="23" xfId="0" applyNumberFormat="1" applyFont="1" applyFill="1" applyBorder="1" applyAlignment="1">
      <alignment vertical="center"/>
    </xf>
    <xf numFmtId="0" fontId="26" fillId="2" borderId="0" xfId="0" applyFont="1" applyFill="1" applyAlignment="1">
      <alignment horizontal="left"/>
    </xf>
    <xf numFmtId="0" fontId="26" fillId="2" borderId="0" xfId="0" applyFont="1" applyFill="1"/>
    <xf numFmtId="0" fontId="26" fillId="2" borderId="0" xfId="0" applyFont="1" applyFill="1" applyAlignment="1">
      <alignment horizontal="right"/>
    </xf>
    <xf numFmtId="172" fontId="15" fillId="3" borderId="46" xfId="0" applyNumberFormat="1" applyFont="1" applyFill="1" applyBorder="1" applyAlignment="1">
      <alignment horizontal="center"/>
    </xf>
    <xf numFmtId="173" fontId="15" fillId="3" borderId="46" xfId="0" applyNumberFormat="1" applyFont="1" applyFill="1" applyBorder="1" applyAlignment="1">
      <alignment horizontal="center"/>
    </xf>
    <xf numFmtId="174" fontId="15" fillId="3" borderId="53" xfId="0" applyNumberFormat="1" applyFont="1" applyFill="1" applyBorder="1" applyAlignment="1">
      <alignment horizontal="center"/>
    </xf>
    <xf numFmtId="175" fontId="3" fillId="0" borderId="1" xfId="0" applyNumberFormat="1" applyFont="1" applyBorder="1" applyProtection="1">
      <protection locked="0"/>
    </xf>
    <xf numFmtId="0" fontId="22" fillId="2" borderId="12" xfId="0" applyFont="1" applyFill="1" applyBorder="1" applyAlignment="1">
      <alignment horizontal="right"/>
    </xf>
    <xf numFmtId="0" fontId="4" fillId="2" borderId="16" xfId="6" applyFont="1" applyFill="1" applyBorder="1" applyAlignment="1">
      <alignment horizontal="centerContinuous"/>
    </xf>
    <xf numFmtId="0" fontId="4" fillId="2" borderId="17" xfId="6" applyFont="1" applyFill="1" applyBorder="1" applyAlignment="1">
      <alignment horizontal="centerContinuous"/>
    </xf>
    <xf numFmtId="0" fontId="4" fillId="2" borderId="18" xfId="6" applyFont="1" applyFill="1" applyBorder="1" applyAlignment="1">
      <alignment horizontal="centerContinuous"/>
    </xf>
    <xf numFmtId="0" fontId="2" fillId="0" borderId="0" xfId="6"/>
    <xf numFmtId="0" fontId="12" fillId="2" borderId="19" xfId="6" applyFont="1" applyFill="1" applyBorder="1" applyAlignment="1">
      <alignment horizontal="centerContinuous"/>
    </xf>
    <xf numFmtId="0" fontId="2" fillId="2" borderId="0" xfId="6" applyFill="1" applyAlignment="1">
      <alignment horizontal="centerContinuous"/>
    </xf>
    <xf numFmtId="0" fontId="2" fillId="2" borderId="20" xfId="6" applyFill="1" applyBorder="1" applyAlignment="1">
      <alignment horizontal="centerContinuous"/>
    </xf>
    <xf numFmtId="0" fontId="2" fillId="2" borderId="19" xfId="6" applyFill="1" applyBorder="1"/>
    <xf numFmtId="0" fontId="2" fillId="2" borderId="0" xfId="6" applyFill="1" applyAlignment="1">
      <alignment horizontal="center"/>
    </xf>
    <xf numFmtId="0" fontId="2" fillId="2" borderId="0" xfId="6" applyFill="1"/>
    <xf numFmtId="0" fontId="2" fillId="2" borderId="20" xfId="6" applyFill="1" applyBorder="1"/>
    <xf numFmtId="0" fontId="2" fillId="2" borderId="41" xfId="6" applyFill="1" applyBorder="1" applyAlignment="1">
      <alignment horizontal="center"/>
    </xf>
    <xf numFmtId="0" fontId="2" fillId="2" borderId="31" xfId="6" applyFill="1" applyBorder="1" applyAlignment="1">
      <alignment horizontal="center"/>
    </xf>
    <xf numFmtId="0" fontId="2" fillId="2" borderId="38" xfId="6" applyFill="1" applyBorder="1" applyAlignment="1">
      <alignment horizontal="center"/>
    </xf>
    <xf numFmtId="0" fontId="2" fillId="2" borderId="40" xfId="6" applyFill="1" applyBorder="1" applyAlignment="1">
      <alignment horizontal="center"/>
    </xf>
    <xf numFmtId="0" fontId="2" fillId="2" borderId="42" xfId="6" applyFill="1" applyBorder="1" applyAlignment="1">
      <alignment horizontal="center"/>
    </xf>
    <xf numFmtId="0" fontId="2" fillId="2" borderId="32" xfId="6" applyFill="1" applyBorder="1" applyAlignment="1">
      <alignment horizontal="center"/>
    </xf>
    <xf numFmtId="0" fontId="2" fillId="2" borderId="54" xfId="6" applyFill="1" applyBorder="1" applyAlignment="1">
      <alignment horizontal="center"/>
    </xf>
    <xf numFmtId="0" fontId="2" fillId="2" borderId="43" xfId="6" applyFill="1" applyBorder="1" applyAlignment="1">
      <alignment horizontal="center"/>
    </xf>
    <xf numFmtId="0" fontId="2" fillId="2" borderId="19" xfId="6" applyFill="1" applyBorder="1" applyAlignment="1">
      <alignment horizontal="right"/>
    </xf>
    <xf numFmtId="0" fontId="3" fillId="0" borderId="1" xfId="6" applyFont="1" applyBorder="1" applyProtection="1">
      <protection locked="0"/>
    </xf>
    <xf numFmtId="0" fontId="2" fillId="2" borderId="40" xfId="6" applyFill="1" applyBorder="1"/>
    <xf numFmtId="0" fontId="2" fillId="2" borderId="38" xfId="6" applyFill="1" applyBorder="1"/>
    <xf numFmtId="0" fontId="2" fillId="2" borderId="0" xfId="6" applyFill="1" applyAlignment="1">
      <alignment horizontal="right"/>
    </xf>
    <xf numFmtId="0" fontId="2" fillId="2" borderId="21" xfId="6" applyFill="1" applyBorder="1"/>
    <xf numFmtId="0" fontId="2" fillId="2" borderId="22" xfId="6" applyFill="1" applyBorder="1"/>
    <xf numFmtId="0" fontId="2" fillId="2" borderId="23" xfId="6" applyFill="1" applyBorder="1"/>
    <xf numFmtId="0" fontId="0" fillId="3" borderId="22" xfId="0" applyFill="1" applyBorder="1" applyAlignment="1">
      <alignment horizontal="right"/>
    </xf>
    <xf numFmtId="7" fontId="26" fillId="3" borderId="22" xfId="0" applyNumberFormat="1" applyFont="1" applyFill="1" applyBorder="1" applyAlignment="1">
      <alignment horizontal="center"/>
    </xf>
    <xf numFmtId="0" fontId="0" fillId="3" borderId="29" xfId="0" applyFill="1" applyBorder="1" applyAlignment="1">
      <alignment horizontal="right"/>
    </xf>
    <xf numFmtId="0" fontId="0" fillId="3" borderId="23" xfId="0" applyFill="1" applyBorder="1" applyAlignment="1">
      <alignment horizontal="left"/>
    </xf>
    <xf numFmtId="0" fontId="0" fillId="3" borderId="29" xfId="0" applyFill="1" applyBorder="1"/>
    <xf numFmtId="0" fontId="12" fillId="3" borderId="29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0" fillId="3" borderId="22" xfId="0" applyFill="1" applyBorder="1" applyAlignment="1">
      <alignment horizontal="left"/>
    </xf>
    <xf numFmtId="0" fontId="12" fillId="3" borderId="22" xfId="0" applyFont="1" applyFill="1" applyBorder="1" applyAlignment="1">
      <alignment horizontal="right"/>
    </xf>
    <xf numFmtId="7" fontId="12" fillId="3" borderId="22" xfId="0" applyNumberFormat="1" applyFont="1" applyFill="1" applyBorder="1" applyAlignment="1">
      <alignment horizontal="left"/>
    </xf>
    <xf numFmtId="7" fontId="0" fillId="3" borderId="29" xfId="0" applyNumberFormat="1" applyFill="1" applyBorder="1" applyAlignment="1">
      <alignment horizontal="right"/>
    </xf>
    <xf numFmtId="7" fontId="12" fillId="3" borderId="29" xfId="0" applyNumberFormat="1" applyFont="1" applyFill="1" applyBorder="1" applyAlignment="1">
      <alignment horizontal="left"/>
    </xf>
    <xf numFmtId="7" fontId="0" fillId="3" borderId="30" xfId="0" applyNumberFormat="1" applyFill="1" applyBorder="1" applyAlignment="1">
      <alignment horizontal="left"/>
    </xf>
    <xf numFmtId="7" fontId="12" fillId="3" borderId="0" xfId="0" applyNumberFormat="1" applyFont="1" applyFill="1" applyAlignment="1">
      <alignment horizontal="right"/>
    </xf>
    <xf numFmtId="7" fontId="3" fillId="0" borderId="55" xfId="0" applyNumberFormat="1" applyFont="1" applyBorder="1" applyProtection="1">
      <protection locked="0"/>
    </xf>
    <xf numFmtId="0" fontId="10" fillId="2" borderId="3" xfId="5" applyFont="1" applyFill="1" applyBorder="1" applyAlignment="1">
      <alignment horizontal="centerContinuous"/>
    </xf>
    <xf numFmtId="0" fontId="10" fillId="2" borderId="4" xfId="5" applyFont="1" applyFill="1" applyBorder="1" applyAlignment="1">
      <alignment horizontal="centerContinuous"/>
    </xf>
    <xf numFmtId="0" fontId="10" fillId="2" borderId="5" xfId="5" applyFont="1" applyFill="1" applyBorder="1" applyAlignment="1">
      <alignment horizontal="centerContinuous"/>
    </xf>
    <xf numFmtId="0" fontId="2" fillId="2" borderId="9" xfId="5" applyFill="1" applyBorder="1"/>
    <xf numFmtId="0" fontId="2" fillId="2" borderId="10" xfId="5" applyFill="1" applyBorder="1"/>
    <xf numFmtId="0" fontId="2" fillId="2" borderId="12" xfId="5" applyFill="1" applyBorder="1"/>
    <xf numFmtId="0" fontId="2" fillId="2" borderId="6" xfId="5" applyFill="1" applyBorder="1" applyAlignment="1">
      <alignment horizontal="centerContinuous"/>
    </xf>
    <xf numFmtId="0" fontId="2" fillId="2" borderId="0" xfId="5" applyFill="1" applyAlignment="1">
      <alignment horizontal="centerContinuous"/>
    </xf>
    <xf numFmtId="0" fontId="2" fillId="2" borderId="7" xfId="5" applyFill="1" applyBorder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Continuous"/>
    </xf>
    <xf numFmtId="170" fontId="0" fillId="0" borderId="0" xfId="0" applyNumberFormat="1"/>
    <xf numFmtId="2" fontId="0" fillId="0" borderId="0" xfId="0" applyNumberFormat="1" applyAlignment="1">
      <alignment horizontal="center"/>
    </xf>
    <xf numFmtId="170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2" fontId="28" fillId="0" borderId="0" xfId="1" applyNumberFormat="1" applyFont="1" applyBorder="1" applyAlignment="1" applyProtection="1">
      <alignment horizontal="center"/>
      <protection locked="0"/>
    </xf>
    <xf numFmtId="0" fontId="0" fillId="0" borderId="0" xfId="0" quotePrefix="1" applyAlignment="1">
      <alignment horizontal="center"/>
    </xf>
    <xf numFmtId="164" fontId="0" fillId="0" borderId="0" xfId="0" applyNumberFormat="1"/>
    <xf numFmtId="0" fontId="0" fillId="4" borderId="47" xfId="0" applyFill="1" applyBorder="1"/>
    <xf numFmtId="0" fontId="0" fillId="4" borderId="56" xfId="0" applyFill="1" applyBorder="1"/>
    <xf numFmtId="0" fontId="0" fillId="4" borderId="56" xfId="0" applyFill="1" applyBorder="1" applyAlignment="1">
      <alignment horizontal="center"/>
    </xf>
    <xf numFmtId="0" fontId="0" fillId="4" borderId="57" xfId="0" applyFill="1" applyBorder="1"/>
    <xf numFmtId="0" fontId="0" fillId="4" borderId="41" xfId="0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4" fillId="4" borderId="58" xfId="0" applyFont="1" applyFill="1" applyBorder="1" applyAlignment="1">
      <alignment horizontal="center"/>
    </xf>
    <xf numFmtId="0" fontId="0" fillId="4" borderId="41" xfId="0" applyFill="1" applyBorder="1"/>
    <xf numFmtId="0" fontId="0" fillId="4" borderId="0" xfId="0" applyFill="1" applyAlignment="1">
      <alignment horizontal="center"/>
    </xf>
    <xf numFmtId="0" fontId="0" fillId="4" borderId="58" xfId="0" applyFill="1" applyBorder="1" applyAlignment="1">
      <alignment horizontal="center"/>
    </xf>
    <xf numFmtId="0" fontId="0" fillId="4" borderId="42" xfId="0" applyFill="1" applyBorder="1"/>
    <xf numFmtId="0" fontId="0" fillId="4" borderId="45" xfId="0" applyFill="1" applyBorder="1"/>
    <xf numFmtId="0" fontId="0" fillId="4" borderId="59" xfId="0" applyFill="1" applyBorder="1"/>
    <xf numFmtId="0" fontId="0" fillId="5" borderId="47" xfId="0" applyFill="1" applyBorder="1"/>
    <xf numFmtId="0" fontId="0" fillId="5" borderId="56" xfId="0" applyFill="1" applyBorder="1"/>
    <xf numFmtId="0" fontId="0" fillId="5" borderId="57" xfId="0" applyFill="1" applyBorder="1"/>
    <xf numFmtId="0" fontId="0" fillId="5" borderId="41" xfId="0" applyFill="1" applyBorder="1" applyAlignment="1">
      <alignment horizontal="left"/>
    </xf>
    <xf numFmtId="0" fontId="1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58" xfId="0" applyFill="1" applyBorder="1"/>
    <xf numFmtId="0" fontId="0" fillId="5" borderId="41" xfId="0" applyFill="1" applyBorder="1"/>
    <xf numFmtId="0" fontId="0" fillId="5" borderId="0" xfId="0" applyFill="1"/>
    <xf numFmtId="0" fontId="0" fillId="5" borderId="42" xfId="0" applyFill="1" applyBorder="1"/>
    <xf numFmtId="0" fontId="0" fillId="5" borderId="45" xfId="0" applyFill="1" applyBorder="1"/>
    <xf numFmtId="0" fontId="0" fillId="5" borderId="59" xfId="0" applyFill="1" applyBorder="1"/>
    <xf numFmtId="0" fontId="0" fillId="4" borderId="41" xfId="0" applyFill="1" applyBorder="1" applyAlignment="1">
      <alignment horizontal="left"/>
    </xf>
    <xf numFmtId="0" fontId="0" fillId="4" borderId="0" xfId="0" applyFill="1"/>
    <xf numFmtId="0" fontId="0" fillId="4" borderId="58" xfId="0" applyFill="1" applyBorder="1"/>
    <xf numFmtId="0" fontId="29" fillId="5" borderId="47" xfId="0" applyFont="1" applyFill="1" applyBorder="1" applyAlignment="1">
      <alignment horizontal="centerContinuous"/>
    </xf>
    <xf numFmtId="0" fontId="29" fillId="5" borderId="56" xfId="0" applyFont="1" applyFill="1" applyBorder="1" applyAlignment="1">
      <alignment horizontal="centerContinuous"/>
    </xf>
    <xf numFmtId="0" fontId="29" fillId="5" borderId="57" xfId="0" applyFont="1" applyFill="1" applyBorder="1" applyAlignment="1">
      <alignment horizontal="centerContinuous"/>
    </xf>
    <xf numFmtId="0" fontId="30" fillId="5" borderId="47" xfId="0" applyFont="1" applyFill="1" applyBorder="1" applyAlignment="1">
      <alignment horizontal="centerContinuous"/>
    </xf>
    <xf numFmtId="0" fontId="30" fillId="5" borderId="57" xfId="0" applyFont="1" applyFill="1" applyBorder="1" applyAlignment="1">
      <alignment horizontal="centerContinuous"/>
    </xf>
    <xf numFmtId="0" fontId="14" fillId="5" borderId="41" xfId="0" applyFont="1" applyFill="1" applyBorder="1" applyAlignment="1">
      <alignment horizontal="right"/>
    </xf>
    <xf numFmtId="0" fontId="0" fillId="0" borderId="36" xfId="0" applyBorder="1" applyProtection="1">
      <protection locked="0"/>
    </xf>
    <xf numFmtId="0" fontId="15" fillId="3" borderId="60" xfId="0" applyFont="1" applyFill="1" applyBorder="1" applyAlignment="1">
      <alignment horizontal="center"/>
    </xf>
    <xf numFmtId="174" fontId="15" fillId="3" borderId="61" xfId="0" applyNumberFormat="1" applyFont="1" applyFill="1" applyBorder="1" applyAlignment="1">
      <alignment horizontal="center"/>
    </xf>
    <xf numFmtId="0" fontId="3" fillId="0" borderId="55" xfId="0" applyFont="1" applyBorder="1" applyProtection="1">
      <protection locked="0"/>
    </xf>
    <xf numFmtId="0" fontId="15" fillId="2" borderId="0" xfId="0" applyFont="1" applyFill="1" applyAlignment="1">
      <alignment horizontal="center"/>
    </xf>
    <xf numFmtId="174" fontId="15" fillId="2" borderId="0" xfId="0" applyNumberFormat="1" applyFont="1" applyFill="1" applyAlignment="1">
      <alignment horizontal="center"/>
    </xf>
    <xf numFmtId="0" fontId="15" fillId="2" borderId="22" xfId="0" applyFont="1" applyFill="1" applyBorder="1" applyAlignment="1">
      <alignment horizontal="center"/>
    </xf>
    <xf numFmtId="174" fontId="15" fillId="2" borderId="22" xfId="0" applyNumberFormat="1" applyFont="1" applyFill="1" applyBorder="1" applyAlignment="1">
      <alignment horizontal="center"/>
    </xf>
    <xf numFmtId="0" fontId="0" fillId="2" borderId="58" xfId="0" applyFill="1" applyBorder="1"/>
    <xf numFmtId="0" fontId="0" fillId="6" borderId="62" xfId="0" applyFill="1" applyBorder="1"/>
    <xf numFmtId="0" fontId="0" fillId="6" borderId="63" xfId="0" applyFill="1" applyBorder="1" applyAlignment="1">
      <alignment horizontal="right"/>
    </xf>
    <xf numFmtId="0" fontId="0" fillId="6" borderId="64" xfId="0" applyFill="1" applyBorder="1"/>
    <xf numFmtId="0" fontId="0" fillId="6" borderId="65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66" xfId="0" applyFill="1" applyBorder="1" applyAlignment="1">
      <alignment horizontal="center"/>
    </xf>
    <xf numFmtId="0" fontId="0" fillId="6" borderId="67" xfId="0" applyFill="1" applyBorder="1" applyAlignment="1">
      <alignment horizontal="center"/>
    </xf>
    <xf numFmtId="0" fontId="0" fillId="6" borderId="68" xfId="0" applyFill="1" applyBorder="1" applyAlignment="1">
      <alignment horizontal="center"/>
    </xf>
    <xf numFmtId="0" fontId="0" fillId="2" borderId="67" xfId="0" applyFill="1" applyBorder="1" applyAlignment="1">
      <alignment horizontal="left"/>
    </xf>
    <xf numFmtId="0" fontId="0" fillId="6" borderId="63" xfId="0" applyFill="1" applyBorder="1"/>
    <xf numFmtId="0" fontId="0" fillId="6" borderId="69" xfId="0" applyFill="1" applyBorder="1" applyAlignment="1">
      <alignment horizontal="center"/>
    </xf>
    <xf numFmtId="0" fontId="0" fillId="6" borderId="70" xfId="0" applyFill="1" applyBorder="1" applyAlignment="1">
      <alignment horizontal="center"/>
    </xf>
    <xf numFmtId="0" fontId="0" fillId="2" borderId="38" xfId="0" applyFill="1" applyBorder="1" applyAlignment="1">
      <alignment horizontal="centerContinuous"/>
    </xf>
    <xf numFmtId="0" fontId="0" fillId="2" borderId="54" xfId="0" applyFill="1" applyBorder="1" applyAlignment="1">
      <alignment horizontal="centerContinuous"/>
    </xf>
    <xf numFmtId="0" fontId="0" fillId="2" borderId="38" xfId="0" applyFill="1" applyBorder="1" applyAlignment="1">
      <alignment horizontal="right"/>
    </xf>
    <xf numFmtId="0" fontId="0" fillId="6" borderId="71" xfId="0" applyFill="1" applyBorder="1" applyAlignment="1">
      <alignment horizontal="center"/>
    </xf>
    <xf numFmtId="0" fontId="0" fillId="6" borderId="72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2" borderId="38" xfId="0" applyFill="1" applyBorder="1"/>
    <xf numFmtId="0" fontId="0" fillId="2" borderId="72" xfId="0" applyFill="1" applyBorder="1"/>
    <xf numFmtId="0" fontId="0" fillId="2" borderId="73" xfId="0" applyFill="1" applyBorder="1"/>
    <xf numFmtId="0" fontId="0" fillId="2" borderId="67" xfId="0" applyFill="1" applyBorder="1"/>
    <xf numFmtId="0" fontId="0" fillId="2" borderId="58" xfId="0" applyFill="1" applyBorder="1" applyAlignment="1">
      <alignment horizontal="centerContinuous"/>
    </xf>
    <xf numFmtId="0" fontId="0" fillId="2" borderId="59" xfId="0" applyFill="1" applyBorder="1" applyAlignment="1">
      <alignment horizontal="centerContinuous"/>
    </xf>
    <xf numFmtId="0" fontId="0" fillId="2" borderId="58" xfId="0" applyFill="1" applyBorder="1" applyAlignment="1">
      <alignment horizontal="left"/>
    </xf>
    <xf numFmtId="0" fontId="0" fillId="2" borderId="74" xfId="0" applyFill="1" applyBorder="1"/>
    <xf numFmtId="0" fontId="0" fillId="2" borderId="47" xfId="0" applyFill="1" applyBorder="1" applyAlignment="1">
      <alignment horizontal="center"/>
    </xf>
    <xf numFmtId="0" fontId="0" fillId="2" borderId="56" xfId="0" applyFill="1" applyBorder="1"/>
    <xf numFmtId="0" fontId="0" fillId="2" borderId="75" xfId="0" applyFill="1" applyBorder="1" applyAlignment="1">
      <alignment horizontal="centerContinuous"/>
    </xf>
    <xf numFmtId="0" fontId="0" fillId="2" borderId="57" xfId="0" applyFill="1" applyBorder="1" applyAlignment="1">
      <alignment horizontal="centerContinuous"/>
    </xf>
    <xf numFmtId="0" fontId="15" fillId="2" borderId="0" xfId="0" applyFont="1" applyFill="1"/>
    <xf numFmtId="0" fontId="0" fillId="6" borderId="76" xfId="0" applyFill="1" applyBorder="1" applyAlignment="1">
      <alignment horizontal="center"/>
    </xf>
    <xf numFmtId="0" fontId="0" fillId="6" borderId="77" xfId="0" applyFill="1" applyBorder="1" applyAlignment="1">
      <alignment horizontal="center"/>
    </xf>
    <xf numFmtId="0" fontId="0" fillId="6" borderId="78" xfId="0" applyFill="1" applyBorder="1" applyAlignment="1">
      <alignment horizontal="center"/>
    </xf>
    <xf numFmtId="0" fontId="0" fillId="6" borderId="79" xfId="0" applyFill="1" applyBorder="1" applyAlignment="1">
      <alignment horizontal="center"/>
    </xf>
    <xf numFmtId="0" fontId="0" fillId="2" borderId="41" xfId="0" applyFill="1" applyBorder="1"/>
    <xf numFmtId="0" fontId="0" fillId="7" borderId="80" xfId="0" applyFill="1" applyBorder="1"/>
    <xf numFmtId="0" fontId="0" fillId="7" borderId="81" xfId="0" applyFill="1" applyBorder="1"/>
    <xf numFmtId="0" fontId="0" fillId="7" borderId="82" xfId="0" applyFill="1" applyBorder="1"/>
    <xf numFmtId="0" fontId="0" fillId="6" borderId="42" xfId="0" applyFill="1" applyBorder="1" applyAlignment="1">
      <alignment horizontal="center"/>
    </xf>
    <xf numFmtId="0" fontId="0" fillId="6" borderId="83" xfId="0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0" fillId="6" borderId="84" xfId="0" applyFill="1" applyBorder="1" applyAlignment="1">
      <alignment horizontal="center"/>
    </xf>
    <xf numFmtId="0" fontId="31" fillId="2" borderId="41" xfId="0" applyFont="1" applyFill="1" applyBorder="1"/>
    <xf numFmtId="0" fontId="14" fillId="2" borderId="0" xfId="0" applyFont="1" applyFill="1" applyAlignment="1">
      <alignment horizontal="centerContinuous"/>
    </xf>
    <xf numFmtId="0" fontId="16" fillId="2" borderId="19" xfId="0" applyFont="1" applyFill="1" applyBorder="1" applyAlignment="1">
      <alignment horizontal="centerContinuous"/>
    </xf>
    <xf numFmtId="0" fontId="12" fillId="2" borderId="19" xfId="0" applyFont="1" applyFill="1" applyBorder="1" applyAlignment="1">
      <alignment horizontal="right"/>
    </xf>
    <xf numFmtId="0" fontId="32" fillId="0" borderId="85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13" fillId="2" borderId="19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0" fillId="2" borderId="86" xfId="0" applyFill="1" applyBorder="1" applyAlignment="1">
      <alignment horizontal="right"/>
    </xf>
    <xf numFmtId="0" fontId="13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centerContinuous"/>
    </xf>
    <xf numFmtId="0" fontId="12" fillId="2" borderId="0" xfId="0" applyFont="1" applyFill="1" applyAlignment="1">
      <alignment horizontal="center"/>
    </xf>
    <xf numFmtId="0" fontId="0" fillId="2" borderId="0" xfId="0" applyFill="1" applyAlignment="1">
      <alignment vertical="top"/>
    </xf>
    <xf numFmtId="0" fontId="12" fillId="2" borderId="87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Continuous"/>
    </xf>
    <xf numFmtId="0" fontId="2" fillId="0" borderId="0" xfId="3" applyProtection="1">
      <protection locked="0"/>
    </xf>
    <xf numFmtId="0" fontId="37" fillId="0" borderId="0" xfId="3" applyFont="1" applyAlignment="1" applyProtection="1">
      <alignment horizontal="right"/>
      <protection locked="0"/>
    </xf>
    <xf numFmtId="0" fontId="2" fillId="0" borderId="45" xfId="3" applyBorder="1" applyProtection="1">
      <protection locked="0"/>
    </xf>
    <xf numFmtId="0" fontId="37" fillId="0" borderId="0" xfId="3" applyFont="1" applyAlignment="1" applyProtection="1">
      <alignment horizontal="center"/>
      <protection locked="0"/>
    </xf>
    <xf numFmtId="0" fontId="2" fillId="0" borderId="0" xfId="3" quotePrefix="1" applyProtection="1">
      <protection locked="0"/>
    </xf>
    <xf numFmtId="0" fontId="26" fillId="0" borderId="0" xfId="3" applyFont="1" applyAlignment="1" applyProtection="1">
      <alignment horizontal="right"/>
      <protection locked="0"/>
    </xf>
    <xf numFmtId="0" fontId="37" fillId="0" borderId="88" xfId="3" applyFont="1" applyBorder="1" applyAlignment="1" applyProtection="1">
      <alignment horizontal="centerContinuous"/>
      <protection locked="0"/>
    </xf>
    <xf numFmtId="0" fontId="2" fillId="0" borderId="89" xfId="3" applyBorder="1" applyAlignment="1" applyProtection="1">
      <alignment horizontal="centerContinuous"/>
      <protection locked="0"/>
    </xf>
    <xf numFmtId="0" fontId="37" fillId="0" borderId="90" xfId="3" applyFont="1" applyBorder="1" applyAlignment="1" applyProtection="1">
      <alignment horizontal="center"/>
      <protection locked="0"/>
    </xf>
    <xf numFmtId="0" fontId="37" fillId="0" borderId="91" xfId="3" applyFont="1" applyBorder="1" applyAlignment="1" applyProtection="1">
      <alignment horizontal="center"/>
      <protection locked="0"/>
    </xf>
    <xf numFmtId="0" fontId="37" fillId="0" borderId="88" xfId="3" applyFont="1" applyBorder="1" applyAlignment="1" applyProtection="1">
      <alignment horizontal="center"/>
      <protection locked="0"/>
    </xf>
    <xf numFmtId="0" fontId="37" fillId="0" borderId="92" xfId="3" applyFont="1" applyBorder="1" applyAlignment="1" applyProtection="1">
      <alignment horizontal="center"/>
      <protection locked="0"/>
    </xf>
    <xf numFmtId="176" fontId="2" fillId="0" borderId="93" xfId="3" applyNumberFormat="1" applyBorder="1" applyAlignment="1" applyProtection="1">
      <alignment horizontal="center"/>
      <protection locked="0"/>
    </xf>
    <xf numFmtId="49" fontId="2" fillId="0" borderId="94" xfId="3" applyNumberFormat="1" applyBorder="1" applyAlignment="1" applyProtection="1">
      <alignment horizontal="center"/>
      <protection locked="0"/>
    </xf>
    <xf numFmtId="0" fontId="2" fillId="0" borderId="94" xfId="3" applyBorder="1" applyAlignment="1" applyProtection="1">
      <alignment horizontal="center"/>
      <protection locked="0"/>
    </xf>
    <xf numFmtId="0" fontId="2" fillId="0" borderId="95" xfId="3" applyBorder="1" applyAlignment="1" applyProtection="1">
      <alignment horizontal="center"/>
      <protection locked="0"/>
    </xf>
    <xf numFmtId="0" fontId="2" fillId="0" borderId="96" xfId="3" applyBorder="1" applyAlignment="1">
      <alignment horizontal="center"/>
    </xf>
    <xf numFmtId="176" fontId="2" fillId="0" borderId="97" xfId="3" applyNumberFormat="1" applyBorder="1" applyAlignment="1" applyProtection="1">
      <alignment horizontal="center"/>
      <protection locked="0"/>
    </xf>
    <xf numFmtId="49" fontId="2" fillId="0" borderId="36" xfId="3" applyNumberFormat="1" applyBorder="1" applyAlignment="1" applyProtection="1">
      <alignment horizontal="center"/>
      <protection locked="0"/>
    </xf>
    <xf numFmtId="0" fontId="2" fillId="0" borderId="36" xfId="3" applyBorder="1" applyAlignment="1" applyProtection="1">
      <alignment horizontal="center"/>
      <protection locked="0"/>
    </xf>
    <xf numFmtId="0" fontId="2" fillId="0" borderId="98" xfId="3" applyBorder="1" applyAlignment="1" applyProtection="1">
      <alignment horizontal="center"/>
      <protection locked="0"/>
    </xf>
    <xf numFmtId="0" fontId="2" fillId="0" borderId="99" xfId="3" applyBorder="1" applyAlignment="1">
      <alignment horizontal="center"/>
    </xf>
    <xf numFmtId="176" fontId="2" fillId="0" borderId="100" xfId="3" applyNumberFormat="1" applyBorder="1" applyAlignment="1" applyProtection="1">
      <alignment horizontal="center"/>
      <protection locked="0"/>
    </xf>
    <xf numFmtId="49" fontId="2" fillId="0" borderId="48" xfId="3" applyNumberFormat="1" applyBorder="1" applyAlignment="1" applyProtection="1">
      <alignment horizontal="center"/>
      <protection locked="0"/>
    </xf>
    <xf numFmtId="0" fontId="2" fillId="0" borderId="48" xfId="3" applyBorder="1" applyAlignment="1" applyProtection="1">
      <alignment horizontal="center"/>
      <protection locked="0"/>
    </xf>
    <xf numFmtId="0" fontId="2" fillId="0" borderId="47" xfId="3" applyBorder="1" applyAlignment="1" applyProtection="1">
      <alignment horizontal="center"/>
      <protection locked="0"/>
    </xf>
    <xf numFmtId="176" fontId="2" fillId="0" borderId="101" xfId="3" applyNumberFormat="1" applyBorder="1" applyAlignment="1" applyProtection="1">
      <alignment horizontal="center"/>
      <protection locked="0"/>
    </xf>
    <xf numFmtId="49" fontId="2" fillId="0" borderId="102" xfId="3" applyNumberFormat="1" applyBorder="1" applyAlignment="1" applyProtection="1">
      <alignment horizontal="center"/>
      <protection locked="0"/>
    </xf>
    <xf numFmtId="0" fontId="2" fillId="0" borderId="102" xfId="3" applyBorder="1" applyAlignment="1" applyProtection="1">
      <alignment horizontal="center"/>
      <protection locked="0"/>
    </xf>
    <xf numFmtId="0" fontId="2" fillId="0" borderId="103" xfId="3" applyBorder="1" applyAlignment="1" applyProtection="1">
      <alignment horizontal="center"/>
      <protection locked="0"/>
    </xf>
    <xf numFmtId="0" fontId="2" fillId="0" borderId="104" xfId="3" applyBorder="1" applyAlignment="1">
      <alignment horizontal="center"/>
    </xf>
    <xf numFmtId="0" fontId="2" fillId="0" borderId="105" xfId="3" applyBorder="1" applyAlignment="1">
      <alignment horizontal="center"/>
    </xf>
    <xf numFmtId="0" fontId="2" fillId="0" borderId="106" xfId="3" applyBorder="1" applyAlignment="1">
      <alignment horizontal="center"/>
    </xf>
    <xf numFmtId="0" fontId="2" fillId="0" borderId="107" xfId="3" applyBorder="1" applyAlignment="1">
      <alignment horizontal="center"/>
    </xf>
    <xf numFmtId="0" fontId="2" fillId="0" borderId="0" xfId="3" applyAlignment="1" applyProtection="1">
      <alignment horizontal="center"/>
      <protection locked="0"/>
    </xf>
    <xf numFmtId="0" fontId="37" fillId="0" borderId="0" xfId="3" applyFont="1" applyProtection="1">
      <protection locked="0"/>
    </xf>
    <xf numFmtId="0" fontId="2" fillId="0" borderId="108" xfId="3" applyBorder="1" applyAlignment="1">
      <alignment horizontal="center"/>
    </xf>
    <xf numFmtId="0" fontId="2" fillId="0" borderId="109" xfId="3" applyBorder="1" applyAlignment="1">
      <alignment horizontal="center"/>
    </xf>
    <xf numFmtId="0" fontId="2" fillId="0" borderId="110" xfId="3" applyBorder="1" applyAlignment="1">
      <alignment horizontal="center"/>
    </xf>
    <xf numFmtId="0" fontId="2" fillId="0" borderId="111" xfId="3" applyBorder="1" applyAlignment="1" applyProtection="1">
      <alignment horizontal="left"/>
      <protection locked="0"/>
    </xf>
    <xf numFmtId="0" fontId="2" fillId="0" borderId="112" xfId="3" applyBorder="1" applyProtection="1">
      <protection locked="0"/>
    </xf>
    <xf numFmtId="0" fontId="2" fillId="0" borderId="112" xfId="3" applyBorder="1" applyAlignment="1" applyProtection="1">
      <alignment horizontal="left"/>
      <protection locked="0"/>
    </xf>
    <xf numFmtId="0" fontId="2" fillId="0" borderId="113" xfId="3" applyBorder="1" applyProtection="1">
      <protection locked="0"/>
    </xf>
    <xf numFmtId="0" fontId="2" fillId="0" borderId="46" xfId="3" applyBorder="1" applyAlignment="1" applyProtection="1">
      <alignment horizontal="left"/>
      <protection locked="0"/>
    </xf>
    <xf numFmtId="0" fontId="2" fillId="0" borderId="34" xfId="3" applyBorder="1" applyProtection="1">
      <protection locked="0"/>
    </xf>
    <xf numFmtId="0" fontId="2" fillId="0" borderId="34" xfId="3" applyBorder="1" applyAlignment="1" applyProtection="1">
      <alignment horizontal="left"/>
      <protection locked="0"/>
    </xf>
    <xf numFmtId="0" fontId="2" fillId="0" borderId="114" xfId="3" applyBorder="1" applyProtection="1">
      <protection locked="0"/>
    </xf>
    <xf numFmtId="0" fontId="37" fillId="0" borderId="115" xfId="3" applyFont="1" applyBorder="1" applyAlignment="1" applyProtection="1">
      <alignment horizontal="center"/>
      <protection locked="0"/>
    </xf>
    <xf numFmtId="1" fontId="2" fillId="0" borderId="108" xfId="3" applyNumberFormat="1" applyBorder="1" applyAlignment="1">
      <alignment horizontal="center"/>
    </xf>
    <xf numFmtId="1" fontId="2" fillId="0" borderId="109" xfId="3" applyNumberFormat="1" applyBorder="1" applyAlignment="1">
      <alignment horizontal="center"/>
    </xf>
    <xf numFmtId="1" fontId="2" fillId="0" borderId="110" xfId="3" applyNumberFormat="1" applyBorder="1" applyAlignment="1">
      <alignment horizontal="center"/>
    </xf>
    <xf numFmtId="1" fontId="2" fillId="0" borderId="0" xfId="3" applyNumberFormat="1" applyAlignment="1" applyProtection="1">
      <alignment horizontal="center"/>
      <protection locked="0"/>
    </xf>
    <xf numFmtId="0" fontId="2" fillId="0" borderId="42" xfId="3" applyBorder="1" applyAlignment="1" applyProtection="1">
      <alignment horizontal="left"/>
      <protection locked="0"/>
    </xf>
    <xf numFmtId="0" fontId="2" fillId="0" borderId="45" xfId="3" applyBorder="1" applyAlignment="1" applyProtection="1">
      <alignment horizontal="left"/>
      <protection locked="0"/>
    </xf>
    <xf numFmtId="0" fontId="2" fillId="0" borderId="59" xfId="3" applyBorder="1" applyProtection="1">
      <protection locked="0"/>
    </xf>
    <xf numFmtId="1" fontId="37" fillId="0" borderId="116" xfId="3" applyNumberFormat="1" applyFont="1" applyBorder="1" applyAlignment="1" applyProtection="1">
      <alignment horizontal="center"/>
      <protection locked="0"/>
    </xf>
    <xf numFmtId="2" fontId="2" fillId="0" borderId="117" xfId="3" applyNumberFormat="1" applyBorder="1" applyAlignment="1">
      <alignment horizontal="center"/>
    </xf>
    <xf numFmtId="2" fontId="2" fillId="0" borderId="118" xfId="3" applyNumberFormat="1" applyBorder="1" applyAlignment="1">
      <alignment horizontal="center"/>
    </xf>
    <xf numFmtId="2" fontId="2" fillId="0" borderId="119" xfId="3" applyNumberFormat="1" applyBorder="1" applyAlignment="1">
      <alignment horizontal="center"/>
    </xf>
    <xf numFmtId="2" fontId="2" fillId="0" borderId="0" xfId="3" applyNumberFormat="1" applyAlignment="1" applyProtection="1">
      <alignment horizontal="center"/>
      <protection locked="0"/>
    </xf>
    <xf numFmtId="0" fontId="38" fillId="0" borderId="0" xfId="3" applyFont="1" applyProtection="1">
      <protection locked="0"/>
    </xf>
    <xf numFmtId="0" fontId="2" fillId="8" borderId="0" xfId="8" applyFill="1" applyProtection="1">
      <protection hidden="1"/>
    </xf>
    <xf numFmtId="0" fontId="40" fillId="8" borderId="0" xfId="8" applyFont="1" applyFill="1" applyProtection="1">
      <protection hidden="1"/>
    </xf>
    <xf numFmtId="0" fontId="40" fillId="8" borderId="0" xfId="8" applyFont="1" applyFill="1" applyProtection="1">
      <protection locked="0"/>
    </xf>
    <xf numFmtId="0" fontId="2" fillId="8" borderId="0" xfId="8" applyFill="1" applyAlignment="1" applyProtection="1">
      <alignment horizontal="centerContinuous"/>
      <protection locked="0"/>
    </xf>
    <xf numFmtId="0" fontId="41" fillId="8" borderId="120" xfId="8" applyFont="1" applyFill="1" applyBorder="1" applyAlignment="1" applyProtection="1">
      <alignment horizontal="centerContinuous" vertical="center"/>
      <protection hidden="1"/>
    </xf>
    <xf numFmtId="0" fontId="42" fillId="8" borderId="120" xfId="8" applyFont="1" applyFill="1" applyBorder="1" applyAlignment="1" applyProtection="1">
      <alignment horizontal="centerContinuous"/>
      <protection hidden="1"/>
    </xf>
    <xf numFmtId="0" fontId="42" fillId="8" borderId="121" xfId="8" applyFont="1" applyFill="1" applyBorder="1" applyAlignment="1" applyProtection="1">
      <alignment horizontal="centerContinuous"/>
      <protection hidden="1"/>
    </xf>
    <xf numFmtId="0" fontId="42" fillId="8" borderId="0" xfId="8" applyFont="1" applyFill="1" applyProtection="1">
      <protection locked="0"/>
    </xf>
    <xf numFmtId="0" fontId="43" fillId="8" borderId="0" xfId="8" applyFont="1" applyFill="1" applyProtection="1">
      <protection hidden="1"/>
    </xf>
    <xf numFmtId="0" fontId="44" fillId="8" borderId="0" xfId="8" applyFont="1" applyFill="1" applyAlignment="1" applyProtection="1">
      <alignment horizontal="center"/>
      <protection locked="0"/>
    </xf>
    <xf numFmtId="0" fontId="2" fillId="8" borderId="0" xfId="8" applyFill="1" applyProtection="1">
      <protection locked="0"/>
    </xf>
    <xf numFmtId="0" fontId="24" fillId="8" borderId="0" xfId="8" applyFont="1" applyFill="1" applyProtection="1">
      <protection locked="0"/>
    </xf>
    <xf numFmtId="0" fontId="45" fillId="8" borderId="91" xfId="8" applyFont="1" applyFill="1" applyBorder="1" applyAlignment="1" applyProtection="1">
      <alignment horizontal="center" vertical="center"/>
      <protection locked="0"/>
    </xf>
    <xf numFmtId="0" fontId="40" fillId="8" borderId="0" xfId="8" applyFont="1" applyFill="1" applyAlignment="1" applyProtection="1">
      <alignment horizontal="center"/>
      <protection hidden="1"/>
    </xf>
    <xf numFmtId="0" fontId="46" fillId="8" borderId="0" xfId="8" applyFont="1" applyFill="1" applyProtection="1">
      <protection hidden="1"/>
    </xf>
    <xf numFmtId="0" fontId="47" fillId="8" borderId="122" xfId="8" applyFont="1" applyFill="1" applyBorder="1" applyAlignment="1" applyProtection="1">
      <alignment horizontal="center" vertical="center"/>
      <protection hidden="1"/>
    </xf>
    <xf numFmtId="0" fontId="46" fillId="8" borderId="0" xfId="8" applyFont="1" applyFill="1" applyAlignment="1" applyProtection="1">
      <alignment horizontal="center"/>
      <protection hidden="1"/>
    </xf>
    <xf numFmtId="11" fontId="46" fillId="8" borderId="0" xfId="8" applyNumberFormat="1" applyFont="1" applyFill="1" applyProtection="1">
      <protection hidden="1"/>
    </xf>
    <xf numFmtId="0" fontId="44" fillId="8" borderId="0" xfId="8" applyFont="1" applyFill="1" applyProtection="1">
      <protection hidden="1"/>
    </xf>
    <xf numFmtId="0" fontId="1" fillId="8" borderId="0" xfId="8" applyFont="1" applyFill="1" applyAlignment="1" applyProtection="1">
      <alignment vertical="center"/>
      <protection hidden="1"/>
    </xf>
    <xf numFmtId="0" fontId="44" fillId="8" borderId="0" xfId="8" applyFont="1" applyFill="1" applyProtection="1">
      <protection locked="0"/>
    </xf>
    <xf numFmtId="0" fontId="41" fillId="8" borderId="121" xfId="8" applyFont="1" applyFill="1" applyBorder="1" applyAlignment="1" applyProtection="1">
      <alignment horizontal="centerContinuous" vertical="center"/>
      <protection hidden="1"/>
    </xf>
    <xf numFmtId="0" fontId="2" fillId="8" borderId="0" xfId="8" applyFill="1" applyAlignment="1" applyProtection="1">
      <alignment horizontal="center"/>
      <protection locked="0"/>
    </xf>
    <xf numFmtId="0" fontId="50" fillId="8" borderId="91" xfId="8" applyFont="1" applyFill="1" applyBorder="1" applyAlignment="1" applyProtection="1">
      <alignment horizontal="center" vertical="center"/>
      <protection locked="0"/>
    </xf>
    <xf numFmtId="0" fontId="51" fillId="8" borderId="0" xfId="8" applyFont="1" applyFill="1" applyProtection="1">
      <protection locked="0"/>
    </xf>
    <xf numFmtId="0" fontId="52" fillId="8" borderId="0" xfId="8" applyFont="1" applyFill="1" applyAlignment="1" applyProtection="1">
      <alignment horizontal="centerContinuous" vertical="center"/>
      <protection hidden="1"/>
    </xf>
    <xf numFmtId="0" fontId="52" fillId="8" borderId="0" xfId="8" applyFont="1" applyFill="1" applyAlignment="1" applyProtection="1">
      <alignment horizontal="center" vertical="center"/>
      <protection locked="0"/>
    </xf>
    <xf numFmtId="0" fontId="52" fillId="8" borderId="0" xfId="8" applyFont="1" applyFill="1" applyAlignment="1" applyProtection="1">
      <alignment horizontal="center" vertical="center"/>
      <protection hidden="1"/>
    </xf>
    <xf numFmtId="0" fontId="53" fillId="8" borderId="0" xfId="8" applyFont="1" applyFill="1" applyAlignment="1" applyProtection="1">
      <alignment vertical="center"/>
      <protection hidden="1"/>
    </xf>
    <xf numFmtId="0" fontId="55" fillId="8" borderId="0" xfId="8" applyFont="1" applyFill="1" applyProtection="1">
      <protection hidden="1"/>
    </xf>
    <xf numFmtId="0" fontId="24" fillId="8" borderId="0" xfId="8" applyFont="1" applyFill="1" applyProtection="1">
      <protection hidden="1"/>
    </xf>
    <xf numFmtId="0" fontId="56" fillId="0" borderId="36" xfId="4" applyBorder="1" applyAlignment="1" applyProtection="1">
      <alignment horizontal="center" vertical="center"/>
      <protection hidden="1"/>
    </xf>
    <xf numFmtId="0" fontId="56" fillId="0" borderId="82" xfId="4" applyBorder="1" applyAlignment="1" applyProtection="1">
      <alignment horizontal="center" vertical="center"/>
      <protection hidden="1"/>
    </xf>
    <xf numFmtId="0" fontId="57" fillId="9" borderId="82" xfId="4" applyFont="1" applyFill="1" applyBorder="1" applyAlignment="1" applyProtection="1">
      <alignment horizontal="center" vertical="center"/>
      <protection hidden="1"/>
    </xf>
    <xf numFmtId="0" fontId="57" fillId="0" borderId="82" xfId="4" applyFont="1" applyBorder="1" applyAlignment="1" applyProtection="1">
      <alignment horizontal="center" vertical="center"/>
      <protection hidden="1"/>
    </xf>
    <xf numFmtId="0" fontId="57" fillId="0" borderId="123" xfId="4" applyFont="1" applyBorder="1" applyAlignment="1" applyProtection="1">
      <alignment horizontal="center" vertical="center"/>
      <protection hidden="1"/>
    </xf>
    <xf numFmtId="0" fontId="57" fillId="0" borderId="0" xfId="4" applyFont="1" applyAlignment="1">
      <alignment horizontal="center" vertical="center"/>
    </xf>
    <xf numFmtId="0" fontId="56" fillId="0" borderId="0" xfId="4" applyAlignment="1">
      <alignment horizontal="center" vertical="center"/>
    </xf>
    <xf numFmtId="14" fontId="56" fillId="0" borderId="49" xfId="4" applyNumberFormat="1" applyBorder="1" applyAlignment="1" applyProtection="1">
      <alignment horizontal="center" vertical="center"/>
      <protection hidden="1"/>
    </xf>
    <xf numFmtId="14" fontId="56" fillId="0" borderId="59" xfId="4" applyNumberFormat="1" applyBorder="1" applyAlignment="1" applyProtection="1">
      <alignment horizontal="center" vertical="center"/>
      <protection hidden="1"/>
    </xf>
    <xf numFmtId="14" fontId="56" fillId="0" borderId="59" xfId="4" applyNumberFormat="1" applyBorder="1" applyAlignment="1" applyProtection="1">
      <alignment horizontal="right" vertical="center"/>
      <protection hidden="1"/>
    </xf>
    <xf numFmtId="0" fontId="56" fillId="0" borderId="59" xfId="4" applyBorder="1" applyAlignment="1" applyProtection="1">
      <alignment horizontal="center" vertical="center"/>
      <protection hidden="1"/>
    </xf>
    <xf numFmtId="0" fontId="56" fillId="0" borderId="124" xfId="4" applyBorder="1" applyAlignment="1" applyProtection="1">
      <alignment horizontal="center" vertical="center"/>
      <protection hidden="1"/>
    </xf>
    <xf numFmtId="14" fontId="56" fillId="0" borderId="0" xfId="4" applyNumberFormat="1" applyAlignment="1">
      <alignment horizontal="center" vertical="center"/>
    </xf>
    <xf numFmtId="0" fontId="57" fillId="10" borderId="49" xfId="4" applyFont="1" applyFill="1" applyBorder="1" applyAlignment="1" applyProtection="1">
      <alignment horizontal="center" vertical="center"/>
      <protection hidden="1"/>
    </xf>
    <xf numFmtId="0" fontId="57" fillId="10" borderId="59" xfId="4" applyFont="1" applyFill="1" applyBorder="1" applyAlignment="1" applyProtection="1">
      <alignment horizontal="center" vertical="center"/>
      <protection hidden="1"/>
    </xf>
    <xf numFmtId="0" fontId="58" fillId="0" borderId="0" xfId="4" quotePrefix="1" applyFont="1" applyAlignment="1">
      <alignment horizontal="left" vertical="center"/>
    </xf>
    <xf numFmtId="0" fontId="59" fillId="0" borderId="0" xfId="4" quotePrefix="1" applyFont="1" applyAlignment="1">
      <alignment horizontal="left" vertical="center"/>
    </xf>
    <xf numFmtId="0" fontId="60" fillId="0" borderId="0" xfId="4" quotePrefix="1" applyFont="1" applyAlignment="1" applyProtection="1">
      <alignment horizontal="left" vertical="center"/>
      <protection hidden="1"/>
    </xf>
    <xf numFmtId="0" fontId="60" fillId="0" borderId="0" xfId="4" applyFont="1" applyAlignment="1">
      <alignment vertical="center"/>
    </xf>
    <xf numFmtId="0" fontId="56" fillId="0" borderId="0" xfId="4" applyAlignment="1">
      <alignment vertical="center"/>
    </xf>
    <xf numFmtId="0" fontId="61" fillId="0" borderId="0" xfId="4" applyFont="1" applyAlignment="1">
      <alignment horizontal="left" vertical="center"/>
    </xf>
    <xf numFmtId="0" fontId="62" fillId="0" borderId="0" xfId="4" applyFont="1" applyAlignment="1">
      <alignment horizontal="center" vertical="center"/>
    </xf>
    <xf numFmtId="0" fontId="58" fillId="0" borderId="0" xfId="4" quotePrefix="1" applyFont="1" applyAlignment="1">
      <alignment vertical="center"/>
    </xf>
    <xf numFmtId="0" fontId="61" fillId="0" borderId="0" xfId="4" applyFont="1" applyAlignment="1" applyProtection="1">
      <alignment horizontal="centerContinuous" vertical="top"/>
      <protection hidden="1"/>
    </xf>
    <xf numFmtId="0" fontId="62" fillId="0" borderId="0" xfId="4" applyFont="1" applyAlignment="1">
      <alignment horizontal="centerContinuous" vertical="top"/>
    </xf>
    <xf numFmtId="0" fontId="58" fillId="0" borderId="0" xfId="4" applyFont="1" applyAlignment="1">
      <alignment horizontal="centerContinuous" vertical="center"/>
    </xf>
    <xf numFmtId="0" fontId="56" fillId="0" borderId="16" xfId="4" quotePrefix="1" applyBorder="1" applyAlignment="1" applyProtection="1">
      <alignment horizontal="left" vertical="center"/>
      <protection hidden="1"/>
    </xf>
    <xf numFmtId="0" fontId="56" fillId="0" borderId="17" xfId="4" quotePrefix="1" applyBorder="1" applyAlignment="1" applyProtection="1">
      <alignment horizontal="left" vertical="center"/>
      <protection hidden="1"/>
    </xf>
    <xf numFmtId="0" fontId="56" fillId="0" borderId="17" xfId="4" applyBorder="1" applyAlignment="1" applyProtection="1">
      <alignment horizontal="center" vertical="center"/>
      <protection hidden="1"/>
    </xf>
    <xf numFmtId="0" fontId="56" fillId="0" borderId="18" xfId="4" applyBorder="1" applyAlignment="1" applyProtection="1">
      <alignment horizontal="center" vertical="center"/>
      <protection hidden="1"/>
    </xf>
    <xf numFmtId="0" fontId="56" fillId="0" borderId="19" xfId="4" quotePrefix="1" applyBorder="1" applyAlignment="1" applyProtection="1">
      <alignment horizontal="left" vertical="center"/>
      <protection hidden="1"/>
    </xf>
    <xf numFmtId="0" fontId="56" fillId="0" borderId="0" xfId="4" quotePrefix="1" applyAlignment="1" applyProtection="1">
      <alignment horizontal="left" vertical="center"/>
      <protection hidden="1"/>
    </xf>
    <xf numFmtId="0" fontId="56" fillId="0" borderId="0" xfId="4" applyAlignment="1" applyProtection="1">
      <alignment horizontal="center" vertical="center"/>
      <protection hidden="1"/>
    </xf>
    <xf numFmtId="0" fontId="56" fillId="0" borderId="20" xfId="4" applyBorder="1" applyAlignment="1" applyProtection="1">
      <alignment horizontal="center" vertical="center"/>
      <protection hidden="1"/>
    </xf>
    <xf numFmtId="0" fontId="63" fillId="0" borderId="19" xfId="4" applyFont="1" applyBorder="1" applyAlignment="1" applyProtection="1">
      <alignment vertical="center"/>
      <protection hidden="1"/>
    </xf>
    <xf numFmtId="0" fontId="63" fillId="0" borderId="0" xfId="4" applyFont="1" applyAlignment="1" applyProtection="1">
      <alignment vertical="center"/>
      <protection hidden="1"/>
    </xf>
    <xf numFmtId="0" fontId="56" fillId="0" borderId="0" xfId="4" applyAlignment="1" applyProtection="1">
      <alignment vertical="center"/>
      <protection hidden="1"/>
    </xf>
    <xf numFmtId="0" fontId="56" fillId="0" borderId="20" xfId="4" applyBorder="1" applyAlignment="1" applyProtection="1">
      <alignment vertical="center"/>
      <protection hidden="1"/>
    </xf>
    <xf numFmtId="0" fontId="65" fillId="0" borderId="0" xfId="4" applyFont="1" applyAlignment="1" applyProtection="1">
      <alignment horizontal="right" vertical="center"/>
      <protection hidden="1"/>
    </xf>
    <xf numFmtId="0" fontId="65" fillId="0" borderId="0" xfId="4" applyFont="1" applyAlignment="1" applyProtection="1">
      <alignment horizontal="left" vertical="center"/>
      <protection hidden="1"/>
    </xf>
    <xf numFmtId="0" fontId="2" fillId="0" borderId="0" xfId="7"/>
    <xf numFmtId="0" fontId="66" fillId="0" borderId="19" xfId="4" applyFont="1" applyBorder="1" applyAlignment="1" applyProtection="1">
      <alignment horizontal="center" vertical="center"/>
      <protection hidden="1"/>
    </xf>
    <xf numFmtId="0" fontId="68" fillId="0" borderId="0" xfId="4" applyFont="1" applyAlignment="1" applyProtection="1">
      <alignment horizontal="center" vertical="center"/>
      <protection hidden="1"/>
    </xf>
    <xf numFmtId="0" fontId="66" fillId="0" borderId="20" xfId="4" applyFont="1" applyBorder="1" applyAlignment="1" applyProtection="1">
      <alignment horizontal="center" vertical="center"/>
      <protection hidden="1"/>
    </xf>
    <xf numFmtId="0" fontId="66" fillId="0" borderId="0" xfId="4" applyFont="1" applyAlignment="1">
      <alignment horizontal="center" vertical="center"/>
    </xf>
    <xf numFmtId="0" fontId="56" fillId="0" borderId="19" xfId="4" applyBorder="1" applyAlignment="1" applyProtection="1">
      <alignment horizontal="center" vertical="center"/>
      <protection hidden="1"/>
    </xf>
    <xf numFmtId="0" fontId="71" fillId="11" borderId="93" xfId="4" applyFont="1" applyFill="1" applyBorder="1" applyAlignment="1" applyProtection="1">
      <alignment horizontal="center" vertical="center"/>
      <protection hidden="1"/>
    </xf>
    <xf numFmtId="0" fontId="71" fillId="12" borderId="94" xfId="4" applyFont="1" applyFill="1" applyBorder="1" applyAlignment="1" applyProtection="1">
      <alignment horizontal="center" vertical="center"/>
      <protection hidden="1"/>
    </xf>
    <xf numFmtId="0" fontId="71" fillId="12" borderId="125" xfId="4" applyFont="1" applyFill="1" applyBorder="1" applyAlignment="1" applyProtection="1">
      <alignment horizontal="center" vertical="center"/>
      <protection hidden="1"/>
    </xf>
    <xf numFmtId="0" fontId="71" fillId="12" borderId="126" xfId="4" applyFont="1" applyFill="1" applyBorder="1" applyAlignment="1" applyProtection="1">
      <alignment horizontal="center" vertical="center"/>
      <protection hidden="1"/>
    </xf>
    <xf numFmtId="0" fontId="72" fillId="0" borderId="0" xfId="4" applyFont="1" applyAlignment="1" applyProtection="1">
      <alignment horizontal="center" vertical="center"/>
      <protection hidden="1"/>
    </xf>
    <xf numFmtId="0" fontId="58" fillId="0" borderId="19" xfId="4" applyFont="1" applyBorder="1" applyAlignment="1" applyProtection="1">
      <alignment horizontal="center" vertical="center"/>
      <protection hidden="1"/>
    </xf>
    <xf numFmtId="0" fontId="73" fillId="11" borderId="127" xfId="4" applyFont="1" applyFill="1" applyBorder="1" applyAlignment="1" applyProtection="1">
      <alignment horizontal="center" vertical="center"/>
      <protection hidden="1"/>
    </xf>
    <xf numFmtId="0" fontId="74" fillId="0" borderId="128" xfId="4" applyFont="1" applyBorder="1" applyAlignment="1" applyProtection="1">
      <alignment horizontal="center" vertical="center"/>
      <protection hidden="1"/>
    </xf>
    <xf numFmtId="0" fontId="62" fillId="0" borderId="129" xfId="4" applyFont="1" applyBorder="1" applyAlignment="1" applyProtection="1">
      <alignment horizontal="center" vertical="center"/>
      <protection hidden="1"/>
    </xf>
    <xf numFmtId="0" fontId="74" fillId="0" borderId="130" xfId="4" applyFont="1" applyBorder="1" applyAlignment="1" applyProtection="1">
      <alignment horizontal="center" vertical="center"/>
      <protection hidden="1"/>
    </xf>
    <xf numFmtId="0" fontId="58" fillId="0" borderId="0" xfId="4" applyFont="1" applyAlignment="1" applyProtection="1">
      <alignment horizontal="center" vertical="center"/>
      <protection hidden="1"/>
    </xf>
    <xf numFmtId="0" fontId="75" fillId="11" borderId="131" xfId="4" applyFont="1" applyFill="1" applyBorder="1" applyAlignment="1" applyProtection="1">
      <alignment horizontal="center" vertical="center"/>
      <protection hidden="1"/>
    </xf>
    <xf numFmtId="0" fontId="73" fillId="11" borderId="131" xfId="4" applyFont="1" applyFill="1" applyBorder="1" applyAlignment="1" applyProtection="1">
      <alignment horizontal="center" vertical="center"/>
      <protection hidden="1"/>
    </xf>
    <xf numFmtId="0" fontId="74" fillId="13" borderId="132" xfId="4" applyFont="1" applyFill="1" applyBorder="1" applyAlignment="1" applyProtection="1">
      <alignment horizontal="center" vertical="center"/>
      <protection hidden="1"/>
    </xf>
    <xf numFmtId="0" fontId="62" fillId="0" borderId="133" xfId="4" applyFont="1" applyBorder="1" applyAlignment="1" applyProtection="1">
      <alignment horizontal="center" vertical="center"/>
      <protection hidden="1"/>
    </xf>
    <xf numFmtId="0" fontId="74" fillId="0" borderId="134" xfId="4" applyFont="1" applyBorder="1" applyAlignment="1" applyProtection="1">
      <alignment horizontal="center" vertical="center"/>
      <protection hidden="1"/>
    </xf>
    <xf numFmtId="0" fontId="74" fillId="0" borderId="133" xfId="4" applyFont="1" applyBorder="1" applyAlignment="1" applyProtection="1">
      <alignment horizontal="center" vertical="center"/>
      <protection hidden="1"/>
    </xf>
    <xf numFmtId="0" fontId="73" fillId="11" borderId="135" xfId="4" applyFont="1" applyFill="1" applyBorder="1" applyAlignment="1" applyProtection="1">
      <alignment horizontal="center" vertical="center"/>
      <protection hidden="1"/>
    </xf>
    <xf numFmtId="0" fontId="74" fillId="13" borderId="136" xfId="4" applyFont="1" applyFill="1" applyBorder="1" applyAlignment="1" applyProtection="1">
      <alignment horizontal="center" vertical="center"/>
      <protection hidden="1"/>
    </xf>
    <xf numFmtId="0" fontId="62" fillId="0" borderId="137" xfId="4" applyFont="1" applyBorder="1" applyAlignment="1" applyProtection="1">
      <alignment horizontal="center" vertical="center"/>
      <protection hidden="1"/>
    </xf>
    <xf numFmtId="0" fontId="74" fillId="0" borderId="23" xfId="4" applyFont="1" applyBorder="1" applyAlignment="1" applyProtection="1">
      <alignment horizontal="center" vertical="center"/>
      <protection hidden="1"/>
    </xf>
    <xf numFmtId="0" fontId="75" fillId="11" borderId="135" xfId="4" applyFont="1" applyFill="1" applyBorder="1" applyAlignment="1" applyProtection="1">
      <alignment horizontal="center" vertical="center"/>
      <protection hidden="1"/>
    </xf>
    <xf numFmtId="0" fontId="74" fillId="0" borderId="136" xfId="4" applyFont="1" applyBorder="1" applyAlignment="1" applyProtection="1">
      <alignment horizontal="center" vertical="center"/>
      <protection hidden="1"/>
    </xf>
    <xf numFmtId="0" fontId="76" fillId="0" borderId="0" xfId="4" applyFont="1" applyAlignment="1" applyProtection="1">
      <alignment horizontal="center" vertical="center"/>
      <protection hidden="1"/>
    </xf>
    <xf numFmtId="0" fontId="77" fillId="0" borderId="0" xfId="4" applyFont="1" applyAlignment="1" applyProtection="1">
      <alignment horizontal="center" vertical="center"/>
      <protection hidden="1"/>
    </xf>
    <xf numFmtId="0" fontId="78" fillId="0" borderId="0" xfId="4" applyFont="1" applyAlignment="1" applyProtection="1">
      <alignment horizontal="center" vertical="center"/>
      <protection hidden="1"/>
    </xf>
    <xf numFmtId="0" fontId="75" fillId="11" borderId="127" xfId="4" applyFont="1" applyFill="1" applyBorder="1" applyAlignment="1" applyProtection="1">
      <alignment horizontal="center" vertical="center"/>
      <protection hidden="1"/>
    </xf>
    <xf numFmtId="0" fontId="75" fillId="0" borderId="0" xfId="4" applyFont="1" applyAlignment="1" applyProtection="1">
      <alignment horizontal="center" vertical="center"/>
      <protection hidden="1"/>
    </xf>
    <xf numFmtId="0" fontId="74" fillId="0" borderId="0" xfId="4" applyFont="1" applyAlignment="1" applyProtection="1">
      <alignment horizontal="center" vertical="center"/>
      <protection hidden="1"/>
    </xf>
    <xf numFmtId="0" fontId="62" fillId="0" borderId="0" xfId="4" applyFont="1" applyAlignment="1" applyProtection="1">
      <alignment horizontal="center" vertical="center"/>
      <protection hidden="1"/>
    </xf>
    <xf numFmtId="0" fontId="81" fillId="0" borderId="129" xfId="4" applyFont="1" applyBorder="1" applyAlignment="1" applyProtection="1">
      <alignment horizontal="center" vertical="center"/>
      <protection hidden="1"/>
    </xf>
    <xf numFmtId="0" fontId="81" fillId="0" borderId="133" xfId="4" applyFont="1" applyBorder="1" applyAlignment="1" applyProtection="1">
      <alignment horizontal="center" vertical="center"/>
      <protection hidden="1"/>
    </xf>
    <xf numFmtId="0" fontId="74" fillId="13" borderId="128" xfId="4" applyFont="1" applyFill="1" applyBorder="1" applyAlignment="1" applyProtection="1">
      <alignment horizontal="center" vertical="center"/>
      <protection hidden="1"/>
    </xf>
    <xf numFmtId="0" fontId="62" fillId="13" borderId="129" xfId="4" applyFont="1" applyFill="1" applyBorder="1" applyAlignment="1" applyProtection="1">
      <alignment horizontal="center" vertical="center"/>
      <protection hidden="1"/>
    </xf>
    <xf numFmtId="0" fontId="74" fillId="0" borderId="132" xfId="4" applyFont="1" applyBorder="1" applyAlignment="1" applyProtection="1">
      <alignment horizontal="center" vertical="center"/>
      <protection hidden="1"/>
    </xf>
    <xf numFmtId="0" fontId="62" fillId="13" borderId="133" xfId="4" applyFont="1" applyFill="1" applyBorder="1" applyAlignment="1" applyProtection="1">
      <alignment horizontal="center" vertical="center"/>
      <protection hidden="1"/>
    </xf>
    <xf numFmtId="0" fontId="56" fillId="0" borderId="21" xfId="4" applyBorder="1" applyAlignment="1">
      <alignment horizontal="center" vertical="center"/>
    </xf>
    <xf numFmtId="0" fontId="56" fillId="0" borderId="22" xfId="4" applyBorder="1" applyAlignment="1">
      <alignment horizontal="center" vertical="center"/>
    </xf>
    <xf numFmtId="0" fontId="82" fillId="0" borderId="22" xfId="4" applyFont="1" applyBorder="1" applyAlignment="1">
      <alignment horizontal="left" vertical="center"/>
    </xf>
    <xf numFmtId="0" fontId="56" fillId="0" borderId="22" xfId="4" applyBorder="1" applyAlignment="1">
      <alignment horizontal="left" vertical="center"/>
    </xf>
    <xf numFmtId="0" fontId="83" fillId="0" borderId="22" xfId="4" applyFont="1" applyBorder="1" applyAlignment="1" applyProtection="1">
      <alignment horizontal="left" vertical="center"/>
      <protection locked="0"/>
    </xf>
    <xf numFmtId="0" fontId="84" fillId="0" borderId="22" xfId="4" applyFont="1" applyBorder="1" applyAlignment="1">
      <alignment horizontal="left" vertical="center"/>
    </xf>
    <xf numFmtId="0" fontId="85" fillId="0" borderId="22" xfId="4" quotePrefix="1" applyFont="1" applyBorder="1" applyAlignment="1" applyProtection="1">
      <alignment horizontal="right" vertical="center"/>
      <protection hidden="1"/>
    </xf>
    <xf numFmtId="0" fontId="85" fillId="0" borderId="23" xfId="4" quotePrefix="1" applyFont="1" applyBorder="1" applyAlignment="1" applyProtection="1">
      <alignment horizontal="right" vertical="center"/>
      <protection hidden="1"/>
    </xf>
    <xf numFmtId="0" fontId="54" fillId="8" borderId="0" xfId="2" applyFont="1" applyFill="1" applyBorder="1" applyAlignment="1" applyProtection="1">
      <protection hidden="1"/>
    </xf>
    <xf numFmtId="0" fontId="54" fillId="0" borderId="0" xfId="2" applyFont="1" applyAlignment="1" applyProtection="1"/>
    <xf numFmtId="0" fontId="70" fillId="0" borderId="22" xfId="4" applyFont="1" applyBorder="1" applyAlignment="1" applyProtection="1">
      <alignment horizontal="center" vertical="center"/>
      <protection hidden="1"/>
    </xf>
    <xf numFmtId="0" fontId="69" fillId="0" borderId="22" xfId="4" applyFont="1" applyBorder="1" applyAlignment="1" applyProtection="1">
      <alignment horizontal="center" vertical="center"/>
      <protection hidden="1"/>
    </xf>
    <xf numFmtId="0" fontId="80" fillId="0" borderId="22" xfId="4" applyFont="1" applyBorder="1" applyAlignment="1" applyProtection="1">
      <alignment horizontal="center" vertical="center"/>
      <protection hidden="1"/>
    </xf>
    <xf numFmtId="0" fontId="79" fillId="0" borderId="22" xfId="4" applyFont="1" applyBorder="1" applyAlignment="1" applyProtection="1">
      <alignment horizontal="center" vertical="center"/>
      <protection hidden="1"/>
    </xf>
    <xf numFmtId="0" fontId="58" fillId="11" borderId="0" xfId="4" quotePrefix="1" applyFont="1" applyFill="1" applyAlignment="1" applyProtection="1">
      <alignment horizontal="center" vertical="center"/>
      <protection locked="0"/>
    </xf>
    <xf numFmtId="0" fontId="64" fillId="0" borderId="0" xfId="4" applyFont="1" applyAlignment="1" applyProtection="1">
      <alignment horizontal="left" vertical="center"/>
      <protection hidden="1"/>
    </xf>
    <xf numFmtId="0" fontId="64" fillId="0" borderId="0" xfId="4" applyFont="1" applyAlignment="1" applyProtection="1">
      <alignment horizontal="right" vertical="center"/>
      <protection hidden="1"/>
    </xf>
    <xf numFmtId="0" fontId="67" fillId="0" borderId="22" xfId="4" applyFont="1" applyBorder="1" applyAlignment="1" applyProtection="1">
      <alignment horizontal="center" vertical="center"/>
      <protection hidden="1"/>
    </xf>
    <xf numFmtId="0" fontId="2" fillId="0" borderId="45" xfId="3" applyBorder="1" applyProtection="1">
      <protection locked="0"/>
    </xf>
    <xf numFmtId="0" fontId="0" fillId="6" borderId="19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38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</cellXfs>
  <cellStyles count="9">
    <cellStyle name="Comma" xfId="1" builtinId="3"/>
    <cellStyle name="Hyperlink_Unit Convertion Table" xfId="2" xr:uid="{00000000-0005-0000-0000-000001000000}"/>
    <cellStyle name="Normal" xfId="0" builtinId="0"/>
    <cellStyle name="Normal_Blood Pressure Record Lorraine Cliff" xfId="3" xr:uid="{00000000-0005-0000-0000-000003000000}"/>
    <cellStyle name="Normal_CAL-A4" xfId="4" xr:uid="{00000000-0005-0000-0000-000004000000}"/>
    <cellStyle name="Normal_Calorie" xfId="5" xr:uid="{00000000-0005-0000-0000-000005000000}"/>
    <cellStyle name="Normal_Cone Fab" xfId="6" xr:uid="{00000000-0005-0000-0000-000006000000}"/>
    <cellStyle name="Normal_life_time_calender" xfId="7" xr:uid="{00000000-0005-0000-0000-000007000000}"/>
    <cellStyle name="Normal_Unit Convertion Table" xfId="8" xr:uid="{00000000-0005-0000-0000-000008000000}"/>
  </cellStyles>
  <dxfs count="5">
    <dxf>
      <font>
        <condense val="0"/>
        <extend val="0"/>
        <color indexed="26"/>
      </font>
    </dxf>
    <dxf>
      <fill>
        <patternFill>
          <bgColor indexed="26"/>
        </patternFill>
      </fill>
      <border>
        <bottom/>
      </border>
    </dxf>
    <dxf>
      <fill>
        <patternFill>
          <bgColor indexed="26"/>
        </patternFill>
      </fill>
      <border>
        <bottom/>
      </border>
    </dxf>
    <dxf>
      <fill>
        <patternFill patternType="lightTrellis"/>
      </fill>
      <border>
        <left/>
        <right/>
        <top/>
        <bottom/>
      </border>
    </dxf>
    <dxf>
      <font>
        <condense val="0"/>
        <extend val="0"/>
        <color auto="1"/>
      </font>
      <fill>
        <patternFill patternType="lightTrellis">
          <bgColor indexed="65"/>
        </patternFill>
      </fill>
      <border>
        <left/>
        <right/>
        <top/>
        <bottom/>
      </border>
    </dxf>
  </dxfs>
  <tableStyles count="1" defaultTableStyle="TableStyleMedium9" defaultPivotStyle="PivotStyleLight16">
    <tableStyle name="Invisible" pivot="0" table="0" count="0" xr9:uid="{DB0E72CA-F488-4553-84BF-736F0E3C57E3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99614634732051E-2"/>
          <c:y val="2.941178160143704E-2"/>
          <c:w val="0.89461460614411747"/>
          <c:h val="0.89058874689151357"/>
        </c:manualLayout>
      </c:layout>
      <c:lineChart>
        <c:grouping val="standard"/>
        <c:varyColors val="0"/>
        <c:ser>
          <c:idx val="2"/>
          <c:order val="0"/>
          <c:tx>
            <c:strRef>
              <c:f>'Blood Pressure'!$F$4</c:f>
              <c:strCache>
                <c:ptCount val="1"/>
                <c:pt idx="0">
                  <c:v>Pulse</c:v>
                </c:pt>
              </c:strCache>
            </c:strRef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val>
            <c:numRef>
              <c:f>'Blood Pressure'!$F$5:$F$54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30-49B3-AC43-ED6779C63523}"/>
            </c:ext>
          </c:extLst>
        </c:ser>
        <c:ser>
          <c:idx val="0"/>
          <c:order val="1"/>
          <c:tx>
            <c:strRef>
              <c:f>'Blood Pressure'!$D$4</c:f>
              <c:strCache>
                <c:ptCount val="1"/>
                <c:pt idx="0">
                  <c:v>Systolic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'Blood Pressure'!$D$5:$D$54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30-49B3-AC43-ED6779C63523}"/>
            </c:ext>
          </c:extLst>
        </c:ser>
        <c:ser>
          <c:idx val="1"/>
          <c:order val="2"/>
          <c:tx>
            <c:strRef>
              <c:f>'Blood Pressure'!$E$4</c:f>
              <c:strCache>
                <c:ptCount val="1"/>
                <c:pt idx="0">
                  <c:v>Diastolic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'Blood Pressure'!$E$5:$E$54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30-49B3-AC43-ED6779C63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4384"/>
        <c:axId val="113602560"/>
      </c:lineChart>
      <c:catAx>
        <c:axId val="11358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60256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360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584384"/>
        <c:crosses val="autoZero"/>
        <c:crossBetween val="between"/>
        <c:min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526956671399681"/>
          <c:y val="0.96470637640883128"/>
          <c:w val="0.52927449642565172"/>
          <c:h val="2.70588235294118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Drop" dropLines="9" dropStyle="combo" dx="26" fmlaLink="$D$3" fmlaRange="$Z$4:$Z$12" noThreeD="1" sel="3" val="0"/>
</file>

<file path=xl/ctrlProps/ctrlProp10.xml><?xml version="1.0" encoding="utf-8"?>
<formControlPr xmlns="http://schemas.microsoft.com/office/spreadsheetml/2009/9/main" objectType="Drop" dropLines="12" dropStyle="combo" dx="26" fmlaLink="$I$15" fmlaRange="$CB$4:$CB$15" noThreeD="1" sel="7" val="0"/>
</file>

<file path=xl/ctrlProps/ctrlProp11.xml><?xml version="1.0" encoding="utf-8"?>
<formControlPr xmlns="http://schemas.microsoft.com/office/spreadsheetml/2009/9/main" objectType="Drop" dropLines="12" dropStyle="combo" dx="26" fmlaLink="$I$15" fmlaRange="$CB$4:$CB$15" noThreeD="1" sel="7" val="0"/>
</file>

<file path=xl/ctrlProps/ctrlProp12.xml><?xml version="1.0" encoding="utf-8"?>
<formControlPr xmlns="http://schemas.microsoft.com/office/spreadsheetml/2009/9/main" objectType="Drop" dropLines="9" dropStyle="combo" dx="26" fmlaLink="$N$3" fmlaRange="$CH$4:$CH$12" noThreeD="1" sel="1" val="0"/>
</file>

<file path=xl/ctrlProps/ctrlProp13.xml><?xml version="1.0" encoding="utf-8"?>
<formControlPr xmlns="http://schemas.microsoft.com/office/spreadsheetml/2009/9/main" objectType="Drop" dropLines="5" dropStyle="combo" dx="26" fmlaLink="$S$7" fmlaRange="$DR$4:$DR$8" noThreeD="1" sel="1" val="0"/>
</file>

<file path=xl/ctrlProps/ctrlProp14.xml><?xml version="1.0" encoding="utf-8"?>
<formControlPr xmlns="http://schemas.microsoft.com/office/spreadsheetml/2009/9/main" objectType="Drop" dropLines="5" dropStyle="combo" dx="26" fmlaLink="$S$11" fmlaRange="$DX$4:$DX$8" noThreeD="1" sel="1" val="0"/>
</file>

<file path=xl/ctrlProps/ctrlProp15.xml><?xml version="1.0" encoding="utf-8"?>
<formControlPr xmlns="http://schemas.microsoft.com/office/spreadsheetml/2009/9/main" objectType="Drop" dropLines="9" dropStyle="combo" dx="26" fmlaLink="$D$4" fmlaRange="$Z$4:$Z$12" noThreeD="1" sel="4" val="0"/>
</file>

<file path=xl/ctrlProps/ctrlProp16.xml><?xml version="1.0" encoding="utf-8"?>
<formControlPr xmlns="http://schemas.microsoft.com/office/spreadsheetml/2009/9/main" objectType="Drop" dropLines="11" dropStyle="combo" dx="26" fmlaLink="$D$8" fmlaRange="$AF$4:$AF$14" noThreeD="1" sel="5" val="0"/>
</file>

<file path=xl/ctrlProps/ctrlProp17.xml><?xml version="1.0" encoding="utf-8"?>
<formControlPr xmlns="http://schemas.microsoft.com/office/spreadsheetml/2009/9/main" objectType="Drop" dropStyle="combo" dx="26" fmlaLink="$D$12" fmlaRange="$AL$4:$AL$11" noThreeD="1" sel="3" val="0"/>
</file>

<file path=xl/ctrlProps/ctrlProp18.xml><?xml version="1.0" encoding="utf-8"?>
<formControlPr xmlns="http://schemas.microsoft.com/office/spreadsheetml/2009/9/main" objectType="Drop" dropLines="14" dropStyle="combo" dx="26" fmlaLink="$D$16" fmlaRange="$AR$4:$AR$17" noThreeD="1" sel="2" val="0"/>
</file>

<file path=xl/ctrlProps/ctrlProp19.xml><?xml version="1.0" encoding="utf-8"?>
<formControlPr xmlns="http://schemas.microsoft.com/office/spreadsheetml/2009/9/main" objectType="Drop" dropLines="13" dropStyle="combo" dx="26" fmlaLink="$D$20" fmlaRange="$AX$4:$AX$15" noThreeD="1" sel="10" val="0"/>
</file>

<file path=xl/ctrlProps/ctrlProp2.xml><?xml version="1.0" encoding="utf-8"?>
<formControlPr xmlns="http://schemas.microsoft.com/office/spreadsheetml/2009/9/main" objectType="Drop" dropLines="11" dropStyle="combo" dx="26" fmlaLink="$D$7" fmlaRange="$AF$4:$AF$14" noThreeD="1" sel="2" val="0"/>
</file>

<file path=xl/ctrlProps/ctrlProp20.xml><?xml version="1.0" encoding="utf-8"?>
<formControlPr xmlns="http://schemas.microsoft.com/office/spreadsheetml/2009/9/main" objectType="Drop" dropLines="13" dropStyle="combo" dx="26" fmlaLink="$I$4" fmlaRange="$BD$4:$BD$15" noThreeD="1" sel="3" val="0"/>
</file>

<file path=xl/ctrlProps/ctrlProp21.xml><?xml version="1.0" encoding="utf-8"?>
<formControlPr xmlns="http://schemas.microsoft.com/office/spreadsheetml/2009/9/main" objectType="Drop" dropLines="10" dropStyle="combo" dx="26" fmlaLink="$I$8" fmlaRange="$BJ$4:$BJ$13" noThreeD="1" sel="4" val="0"/>
</file>

<file path=xl/ctrlProps/ctrlProp22.xml><?xml version="1.0" encoding="utf-8"?>
<formControlPr xmlns="http://schemas.microsoft.com/office/spreadsheetml/2009/9/main" objectType="Drop" dropLines="11" dropStyle="combo" dx="26" fmlaLink="$I$12" fmlaRange="$BP$4:$BP$14" noThreeD="1" sel="4" val="0"/>
</file>

<file path=xl/ctrlProps/ctrlProp23.xml><?xml version="1.0" encoding="utf-8"?>
<formControlPr xmlns="http://schemas.microsoft.com/office/spreadsheetml/2009/9/main" objectType="Drop" dropLines="11" dropStyle="combo" dx="26" fmlaLink="$I$20" fmlaRange="$BV$4:$BV$14" noThreeD="1" sel="1" val="0"/>
</file>

<file path=xl/ctrlProps/ctrlProp24.xml><?xml version="1.0" encoding="utf-8"?>
<formControlPr xmlns="http://schemas.microsoft.com/office/spreadsheetml/2009/9/main" objectType="Drop" dropLines="12" dropStyle="combo" dx="26" fmlaLink="$I$16" fmlaRange="$CB$4:$CB$15" noThreeD="1" sel="12" val="0"/>
</file>

<file path=xl/ctrlProps/ctrlProp25.xml><?xml version="1.0" encoding="utf-8"?>
<formControlPr xmlns="http://schemas.microsoft.com/office/spreadsheetml/2009/9/main" objectType="Drop" dropLines="9" dropStyle="combo" dx="26" fmlaLink="$N$4" fmlaRange="$CH$4:$CH$12" noThreeD="1" sel="5" val="0"/>
</file>

<file path=xl/ctrlProps/ctrlProp26.xml><?xml version="1.0" encoding="utf-8"?>
<formControlPr xmlns="http://schemas.microsoft.com/office/spreadsheetml/2009/9/main" objectType="Drop" dropLines="7" dropStyle="combo" dx="26" fmlaLink="$N$8" fmlaRange="$CN$4:$CN$10" noThreeD="1" sel="5" val="0"/>
</file>

<file path=xl/ctrlProps/ctrlProp27.xml><?xml version="1.0" encoding="utf-8"?>
<formControlPr xmlns="http://schemas.microsoft.com/office/spreadsheetml/2009/9/main" objectType="Drop" dropLines="11" dropStyle="combo" dx="26" fmlaLink="$N$12" fmlaRange="$CT$4:$CT$14" noThreeD="1" sel="6" val="0"/>
</file>

<file path=xl/ctrlProps/ctrlProp28.xml><?xml version="1.0" encoding="utf-8"?>
<formControlPr xmlns="http://schemas.microsoft.com/office/spreadsheetml/2009/9/main" objectType="Drop" dropLines="5" dropStyle="combo" dx="26" fmlaLink="$N$16" fmlaRange="$CZ$4:$CZ$8" noThreeD="1" sel="3" val="0"/>
</file>

<file path=xl/ctrlProps/ctrlProp29.xml><?xml version="1.0" encoding="utf-8"?>
<formControlPr xmlns="http://schemas.microsoft.com/office/spreadsheetml/2009/9/main" objectType="Drop" dropLines="5" dropStyle="combo" dx="26" fmlaLink="$N$20" fmlaRange="$DF$4:$DF$8" noThreeD="1" sel="3" val="0"/>
</file>

<file path=xl/ctrlProps/ctrlProp3.xml><?xml version="1.0" encoding="utf-8"?>
<formControlPr xmlns="http://schemas.microsoft.com/office/spreadsheetml/2009/9/main" objectType="Drop" dropStyle="combo" dx="26" fmlaLink="$D$11" fmlaRange="$AL$4:$AL$11" noThreeD="1" sel="5" val="0"/>
</file>

<file path=xl/ctrlProps/ctrlProp30.xml><?xml version="1.0" encoding="utf-8"?>
<formControlPr xmlns="http://schemas.microsoft.com/office/spreadsheetml/2009/9/main" objectType="Drop" dropLines="5" dropStyle="combo" dx="26" fmlaLink="$S$8" fmlaRange="$DR$4:$DR$8" noThreeD="1" sel="5" val="0"/>
</file>

<file path=xl/ctrlProps/ctrlProp31.xml><?xml version="1.0" encoding="utf-8"?>
<formControlPr xmlns="http://schemas.microsoft.com/office/spreadsheetml/2009/9/main" objectType="Drop" dropLines="5" dropStyle="combo" dx="26" fmlaLink="$S$12" fmlaRange="$DX$4:$DX$8" noThreeD="1" sel="5" val="0"/>
</file>

<file path=xl/ctrlProps/ctrlProp32.xml><?xml version="1.0" encoding="utf-8"?>
<formControlPr xmlns="http://schemas.microsoft.com/office/spreadsheetml/2009/9/main" objectType="Drop" dropLines="7" dropStyle="combo" dx="26" fmlaLink="$N$7" fmlaRange="$CN$4:$CN$10" noThreeD="1" sel="1" val="0"/>
</file>

<file path=xl/ctrlProps/ctrlProp33.xml><?xml version="1.0" encoding="utf-8"?>
<formControlPr xmlns="http://schemas.microsoft.com/office/spreadsheetml/2009/9/main" objectType="Drop" dropLines="11" dropStyle="combo" dx="26" fmlaLink="$N$11" fmlaRange="$CT$4:$CT$14" noThreeD="1" sel="3" val="0"/>
</file>

<file path=xl/ctrlProps/ctrlProp34.xml><?xml version="1.0" encoding="utf-8"?>
<formControlPr xmlns="http://schemas.microsoft.com/office/spreadsheetml/2009/9/main" objectType="Drop" dropLines="5" dropStyle="combo" dx="26" fmlaLink="$N$15" fmlaRange="$CZ$4:$CZ$8" noThreeD="1" sel="1" val="0"/>
</file>

<file path=xl/ctrlProps/ctrlProp35.xml><?xml version="1.0" encoding="utf-8"?>
<formControlPr xmlns="http://schemas.microsoft.com/office/spreadsheetml/2009/9/main" objectType="Drop" dropLines="5" dropStyle="combo" dx="26" fmlaLink="$N$19" fmlaRange="$DF$4:$DF$8" noThreeD="1" sel="1" val="0"/>
</file>

<file path=xl/ctrlProps/ctrlProp36.xml><?xml version="1.0" encoding="utf-8"?>
<formControlPr xmlns="http://schemas.microsoft.com/office/spreadsheetml/2009/9/main" objectType="Drop" dropLines="5" dropStyle="combo" dx="26" fmlaLink="$S$4" fmlaRange="$DL$4:$DL$8" noThreeD="1" sel="5" val="0"/>
</file>

<file path=xl/ctrlProps/ctrlProp37.xml><?xml version="1.0" encoding="utf-8"?>
<formControlPr xmlns="http://schemas.microsoft.com/office/spreadsheetml/2009/9/main" objectType="Drop" dropLines="5" dropStyle="combo" dx="26" fmlaLink="$S$3" fmlaRange="$DL$4:$DL$8" noThreeD="1" sel="1" val="0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firstButton="1" fmlaLink="K4" lockText="1" noThreeD="1"/>
</file>

<file path=xl/ctrlProps/ctrlProp4.xml><?xml version="1.0" encoding="utf-8"?>
<formControlPr xmlns="http://schemas.microsoft.com/office/spreadsheetml/2009/9/main" objectType="Drop" dropLines="14" dropStyle="combo" dx="26" fmlaLink="$D$15" fmlaRange="$AR$4:$AR$17" noThreeD="1" sel="10" val="0"/>
</file>

<file path=xl/ctrlProps/ctrlProp40.xml><?xml version="1.0" encoding="utf-8"?>
<formControlPr xmlns="http://schemas.microsoft.com/office/spreadsheetml/2009/9/main" objectType="Radio" checked="Checked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Drop" dropLines="35" dropStyle="combo" dx="26" fmlaLink="Data!$S$25" fmlaRange="Data!$V$2:$V$882" noThreeD="1" sel="1" val="0"/>
</file>

<file path=xl/ctrlProps/ctrlProp43.xml><?xml version="1.0" encoding="utf-8"?>
<formControlPr xmlns="http://schemas.microsoft.com/office/spreadsheetml/2009/9/main" objectType="Drop" dropStyle="combo" dx="26" fmlaLink="Data!$S$8" fmlaRange="Data!$L$2:$L$97" noThreeD="1" sel="1" val="0"/>
</file>

<file path=xl/ctrlProps/ctrlProp44.xml><?xml version="1.0" encoding="utf-8"?>
<formControlPr xmlns="http://schemas.microsoft.com/office/spreadsheetml/2009/9/main" objectType="Drop" dropStyle="combo" dx="26" fmlaLink="Data!$S$12" fmlaRange="Data!$J$2:$J$27" noThreeD="1" sel="1" val="0"/>
</file>

<file path=xl/ctrlProps/ctrlProp45.xml><?xml version="1.0" encoding="utf-8"?>
<formControlPr xmlns="http://schemas.microsoft.com/office/spreadsheetml/2009/9/main" objectType="Drop" dropLines="15" dropStyle="combo" dx="26" fmlaLink="Data!$S$16" fmlaRange="Data!$G$2:$G$98" noThreeD="1" sel="1" val="0"/>
</file>

<file path=xl/ctrlProps/ctrlProp46.xml><?xml version="1.0" encoding="utf-8"?>
<formControlPr xmlns="http://schemas.microsoft.com/office/spreadsheetml/2009/9/main" objectType="Drop" dropLines="21" dropStyle="combo" dx="26" fmlaLink="Data!$S$20" fmlaRange="Data!$P$2:$P$215" noThreeD="1" sel="1" val="0"/>
</file>

<file path=xl/ctrlProps/ctrlProp47.xml><?xml version="1.0" encoding="utf-8"?>
<formControlPr xmlns="http://schemas.microsoft.com/office/spreadsheetml/2009/9/main" objectType="Drop" dropLines="27" dropStyle="combo" dx="26" fmlaLink="Data!$S$2" fmlaRange="Data!$B$2:$B$421" noThreeD="1" sel="1" val="0"/>
</file>

<file path=xl/ctrlProps/ctrlProp5.xml><?xml version="1.0" encoding="utf-8"?>
<formControlPr xmlns="http://schemas.microsoft.com/office/spreadsheetml/2009/9/main" objectType="Drop" dropLines="13" dropStyle="combo" dx="26" fmlaLink="$D$19" fmlaRange="$AX$4:$AX$15" noThreeD="1" sel="1" val="0"/>
</file>

<file path=xl/ctrlProps/ctrlProp6.xml><?xml version="1.0" encoding="utf-8"?>
<formControlPr xmlns="http://schemas.microsoft.com/office/spreadsheetml/2009/9/main" objectType="Drop" dropLines="12" dropStyle="combo" dx="26" fmlaLink="$I$3" fmlaRange="$BD$4:$BD$15" noThreeD="1" sel="1" val="0"/>
</file>

<file path=xl/ctrlProps/ctrlProp7.xml><?xml version="1.0" encoding="utf-8"?>
<formControlPr xmlns="http://schemas.microsoft.com/office/spreadsheetml/2009/9/main" objectType="Drop" dropLines="10" dropStyle="combo" dx="26" fmlaLink="$I$7" fmlaRange="$BJ$4:$BJ$13" noThreeD="1" sel="2" val="0"/>
</file>

<file path=xl/ctrlProps/ctrlProp8.xml><?xml version="1.0" encoding="utf-8"?>
<formControlPr xmlns="http://schemas.microsoft.com/office/spreadsheetml/2009/9/main" objectType="Drop" dropLines="11" dropStyle="combo" dx="26" fmlaLink="$I$11" fmlaRange="$BP$4:$BP$14" noThreeD="1" sel="6" val="0"/>
</file>

<file path=xl/ctrlProps/ctrlProp9.xml><?xml version="1.0" encoding="utf-8"?>
<formControlPr xmlns="http://schemas.microsoft.com/office/spreadsheetml/2009/9/main" objectType="Drop" dropLines="11" dropStyle="combo" dx="26" fmlaLink="$I$19" fmlaRange="$BV$4:$BV$14" noThreeD="1" sel="7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pn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pn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20</xdr:col>
      <xdr:colOff>142875</xdr:colOff>
      <xdr:row>23</xdr:row>
      <xdr:rowOff>66675</xdr:rowOff>
    </xdr:to>
    <xdr:sp macro="" textlink="">
      <xdr:nvSpPr>
        <xdr:cNvPr id="13354" name="Rectangle 38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>
          <a:spLocks noChangeArrowheads="1"/>
        </xdr:cNvSpPr>
      </xdr:nvSpPr>
      <xdr:spPr bwMode="auto">
        <a:xfrm>
          <a:off x="57150" y="66675"/>
          <a:ext cx="8153400" cy="438150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9525</xdr:colOff>
      <xdr:row>12</xdr:row>
      <xdr:rowOff>114300</xdr:rowOff>
    </xdr:from>
    <xdr:to>
      <xdr:col>20</xdr:col>
      <xdr:colOff>9525</xdr:colOff>
      <xdr:row>16</xdr:row>
      <xdr:rowOff>152400</xdr:rowOff>
    </xdr:to>
    <xdr:pic>
      <xdr:nvPicPr>
        <xdr:cNvPr id="13355" name="Picture 39" descr="ARAMCO-BIG LOGO2-TRANS-01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9825" y="2400300"/>
          <a:ext cx="18573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4</xdr:col>
          <xdr:colOff>0</xdr:colOff>
          <xdr:row>3</xdr:row>
          <xdr:rowOff>0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152400</xdr:rowOff>
        </xdr:from>
        <xdr:to>
          <xdr:col>4</xdr:col>
          <xdr:colOff>0</xdr:colOff>
          <xdr:row>7</xdr:row>
          <xdr:rowOff>0</xdr:rowOff>
        </xdr:to>
        <xdr:sp macro="" textlink="">
          <xdr:nvSpPr>
            <xdr:cNvPr id="13314" name="Drop Dow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152400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3315" name="Drop Down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0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3316" name="Drop Down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0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3317" name="Drop Down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0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152400</xdr:rowOff>
        </xdr:from>
        <xdr:to>
          <xdr:col>9</xdr:col>
          <xdr:colOff>0</xdr:colOff>
          <xdr:row>3</xdr:row>
          <xdr:rowOff>0</xdr:rowOff>
        </xdr:to>
        <xdr:sp macro="" textlink="">
          <xdr:nvSpPr>
            <xdr:cNvPr id="13318" name="Drop Down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152400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13319" name="Drop Down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0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13320" name="Drop Down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0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152400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13321" name="Drop Down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0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13322" name="Drop Down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0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</xdr:row>
          <xdr:rowOff>0</xdr:rowOff>
        </xdr:from>
        <xdr:to>
          <xdr:col>12</xdr:col>
          <xdr:colOff>487680</xdr:colOff>
          <xdr:row>2</xdr:row>
          <xdr:rowOff>144780</xdr:rowOff>
        </xdr:to>
        <xdr:sp macro="" textlink="">
          <xdr:nvSpPr>
            <xdr:cNvPr id="13323" name="Drop Down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0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</xdr:row>
          <xdr:rowOff>0</xdr:rowOff>
        </xdr:from>
        <xdr:to>
          <xdr:col>13</xdr:col>
          <xdr:colOff>0</xdr:colOff>
          <xdr:row>3</xdr:row>
          <xdr:rowOff>0</xdr:rowOff>
        </xdr:to>
        <xdr:sp macro="" textlink="">
          <xdr:nvSpPr>
            <xdr:cNvPr id="13324" name="Drop Down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0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</xdr:row>
          <xdr:rowOff>0</xdr:rowOff>
        </xdr:from>
        <xdr:to>
          <xdr:col>19</xdr:col>
          <xdr:colOff>0</xdr:colOff>
          <xdr:row>7</xdr:row>
          <xdr:rowOff>0</xdr:rowOff>
        </xdr:to>
        <xdr:sp macro="" textlink="">
          <xdr:nvSpPr>
            <xdr:cNvPr id="13325" name="Drop Down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0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</xdr:row>
          <xdr:rowOff>152400</xdr:rowOff>
        </xdr:from>
        <xdr:to>
          <xdr:col>19</xdr:col>
          <xdr:colOff>0</xdr:colOff>
          <xdr:row>11</xdr:row>
          <xdr:rowOff>0</xdr:rowOff>
        </xdr:to>
        <xdr:sp macro="" textlink="">
          <xdr:nvSpPr>
            <xdr:cNvPr id="13326" name="Drop Down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0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4</xdr:col>
          <xdr:colOff>0</xdr:colOff>
          <xdr:row>4</xdr:row>
          <xdr:rowOff>0</xdr:rowOff>
        </xdr:to>
        <xdr:sp macro="" textlink="">
          <xdr:nvSpPr>
            <xdr:cNvPr id="13327" name="Drop Down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0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152400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13328" name="Drop Down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0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13329" name="Drop Down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0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152400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13330" name="Drop Down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0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4</xdr:col>
          <xdr:colOff>0</xdr:colOff>
          <xdr:row>20</xdr:row>
          <xdr:rowOff>0</xdr:rowOff>
        </xdr:to>
        <xdr:sp macro="" textlink="">
          <xdr:nvSpPr>
            <xdr:cNvPr id="13331" name="Drop Down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0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152400</xdr:rowOff>
        </xdr:from>
        <xdr:to>
          <xdr:col>9</xdr:col>
          <xdr:colOff>0</xdr:colOff>
          <xdr:row>4</xdr:row>
          <xdr:rowOff>0</xdr:rowOff>
        </xdr:to>
        <xdr:sp macro="" textlink="">
          <xdr:nvSpPr>
            <xdr:cNvPr id="13332" name="Drop Down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0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13333" name="Drop Down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0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152400</xdr:rowOff>
        </xdr:from>
        <xdr:to>
          <xdr:col>9</xdr:col>
          <xdr:colOff>0</xdr:colOff>
          <xdr:row>12</xdr:row>
          <xdr:rowOff>0</xdr:rowOff>
        </xdr:to>
        <xdr:sp macro="" textlink="">
          <xdr:nvSpPr>
            <xdr:cNvPr id="13334" name="Drop Down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0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152400</xdr:rowOff>
        </xdr:from>
        <xdr:to>
          <xdr:col>9</xdr:col>
          <xdr:colOff>0</xdr:colOff>
          <xdr:row>20</xdr:row>
          <xdr:rowOff>0</xdr:rowOff>
        </xdr:to>
        <xdr:sp macro="" textlink="">
          <xdr:nvSpPr>
            <xdr:cNvPr id="13335" name="Drop Down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0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13336" name="Drop Down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0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</xdr:row>
          <xdr:rowOff>0</xdr:rowOff>
        </xdr:from>
        <xdr:to>
          <xdr:col>14</xdr:col>
          <xdr:colOff>0</xdr:colOff>
          <xdr:row>4</xdr:row>
          <xdr:rowOff>0</xdr:rowOff>
        </xdr:to>
        <xdr:sp macro="" textlink="">
          <xdr:nvSpPr>
            <xdr:cNvPr id="13337" name="Drop Down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0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3338" name="Drop Down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0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152400</xdr:rowOff>
        </xdr:from>
        <xdr:to>
          <xdr:col>14</xdr:col>
          <xdr:colOff>0</xdr:colOff>
          <xdr:row>12</xdr:row>
          <xdr:rowOff>0</xdr:rowOff>
        </xdr:to>
        <xdr:sp macro="" textlink="">
          <xdr:nvSpPr>
            <xdr:cNvPr id="13339" name="Drop Down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0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152400</xdr:rowOff>
        </xdr:from>
        <xdr:to>
          <xdr:col>14</xdr:col>
          <xdr:colOff>0</xdr:colOff>
          <xdr:row>16</xdr:row>
          <xdr:rowOff>0</xdr:rowOff>
        </xdr:to>
        <xdr:sp macro="" textlink="">
          <xdr:nvSpPr>
            <xdr:cNvPr id="13340" name="Drop Down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0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152400</xdr:rowOff>
        </xdr:from>
        <xdr:to>
          <xdr:col>14</xdr:col>
          <xdr:colOff>0</xdr:colOff>
          <xdr:row>20</xdr:row>
          <xdr:rowOff>0</xdr:rowOff>
        </xdr:to>
        <xdr:sp macro="" textlink="">
          <xdr:nvSpPr>
            <xdr:cNvPr id="13341" name="Drop Down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0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0</xdr:rowOff>
        </xdr:from>
        <xdr:to>
          <xdr:col>19</xdr:col>
          <xdr:colOff>0</xdr:colOff>
          <xdr:row>8</xdr:row>
          <xdr:rowOff>0</xdr:rowOff>
        </xdr:to>
        <xdr:sp macro="" textlink="">
          <xdr:nvSpPr>
            <xdr:cNvPr id="13342" name="Drop Down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0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</xdr:row>
          <xdr:rowOff>152400</xdr:rowOff>
        </xdr:from>
        <xdr:to>
          <xdr:col>19</xdr:col>
          <xdr:colOff>0</xdr:colOff>
          <xdr:row>12</xdr:row>
          <xdr:rowOff>0</xdr:rowOff>
        </xdr:to>
        <xdr:sp macro="" textlink="">
          <xdr:nvSpPr>
            <xdr:cNvPr id="13343" name="Drop Down 31" hidden="1">
              <a:extLst>
                <a:ext uri="{63B3BB69-23CF-44E3-9099-C40C66FF867C}">
                  <a14:compatExt spid="_x0000_s13343"/>
                </a:ext>
                <a:ext uri="{FF2B5EF4-FFF2-40B4-BE49-F238E27FC236}">
                  <a16:creationId xmlns:a16="http://schemas.microsoft.com/office/drawing/2014/main" id="{00000000-0008-0000-0000-00001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13344" name="Drop Down 32" hidden="1">
              <a:extLst>
                <a:ext uri="{63B3BB69-23CF-44E3-9099-C40C66FF867C}">
                  <a14:compatExt spid="_x0000_s13344"/>
                </a:ext>
                <a:ext uri="{FF2B5EF4-FFF2-40B4-BE49-F238E27FC236}">
                  <a16:creationId xmlns:a16="http://schemas.microsoft.com/office/drawing/2014/main" id="{00000000-0008-0000-0000-00002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152400</xdr:rowOff>
        </xdr:from>
        <xdr:to>
          <xdr:col>14</xdr:col>
          <xdr:colOff>0</xdr:colOff>
          <xdr:row>11</xdr:row>
          <xdr:rowOff>0</xdr:rowOff>
        </xdr:to>
        <xdr:sp macro="" textlink="">
          <xdr:nvSpPr>
            <xdr:cNvPr id="13345" name="Drop Down 33" hidden="1">
              <a:extLst>
                <a:ext uri="{63B3BB69-23CF-44E3-9099-C40C66FF867C}">
                  <a14:compatExt spid="_x0000_s13345"/>
                </a:ext>
                <a:ext uri="{FF2B5EF4-FFF2-40B4-BE49-F238E27FC236}">
                  <a16:creationId xmlns:a16="http://schemas.microsoft.com/office/drawing/2014/main" id="{00000000-0008-0000-0000-00002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14</xdr:col>
          <xdr:colOff>0</xdr:colOff>
          <xdr:row>15</xdr:row>
          <xdr:rowOff>0</xdr:rowOff>
        </xdr:to>
        <xdr:sp macro="" textlink="">
          <xdr:nvSpPr>
            <xdr:cNvPr id="13346" name="Drop Down 34" hidden="1">
              <a:extLst>
                <a:ext uri="{63B3BB69-23CF-44E3-9099-C40C66FF867C}">
                  <a14:compatExt spid="_x0000_s13346"/>
                </a:ext>
                <a:ext uri="{FF2B5EF4-FFF2-40B4-BE49-F238E27FC236}">
                  <a16:creationId xmlns:a16="http://schemas.microsoft.com/office/drawing/2014/main" id="{00000000-0008-0000-0000-00002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0</xdr:rowOff>
        </xdr:from>
        <xdr:to>
          <xdr:col>14</xdr:col>
          <xdr:colOff>0</xdr:colOff>
          <xdr:row>19</xdr:row>
          <xdr:rowOff>0</xdr:rowOff>
        </xdr:to>
        <xdr:sp macro="" textlink="">
          <xdr:nvSpPr>
            <xdr:cNvPr id="13347" name="Drop Down 35" hidden="1">
              <a:extLst>
                <a:ext uri="{63B3BB69-23CF-44E3-9099-C40C66FF867C}">
                  <a14:compatExt spid="_x0000_s13347"/>
                </a:ext>
                <a:ext uri="{FF2B5EF4-FFF2-40B4-BE49-F238E27FC236}">
                  <a16:creationId xmlns:a16="http://schemas.microsoft.com/office/drawing/2014/main" id="{00000000-0008-0000-0000-00002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</xdr:row>
          <xdr:rowOff>152400</xdr:rowOff>
        </xdr:from>
        <xdr:to>
          <xdr:col>19</xdr:col>
          <xdr:colOff>0</xdr:colOff>
          <xdr:row>4</xdr:row>
          <xdr:rowOff>0</xdr:rowOff>
        </xdr:to>
        <xdr:sp macro="" textlink="">
          <xdr:nvSpPr>
            <xdr:cNvPr id="13348" name="Drop Down 36" hidden="1">
              <a:extLst>
                <a:ext uri="{63B3BB69-23CF-44E3-9099-C40C66FF867C}">
                  <a14:compatExt spid="_x0000_s13348"/>
                </a:ext>
                <a:ext uri="{FF2B5EF4-FFF2-40B4-BE49-F238E27FC236}">
                  <a16:creationId xmlns:a16="http://schemas.microsoft.com/office/drawing/2014/main" id="{00000000-0008-0000-0000-00002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</xdr:row>
          <xdr:rowOff>152400</xdr:rowOff>
        </xdr:from>
        <xdr:to>
          <xdr:col>19</xdr:col>
          <xdr:colOff>0</xdr:colOff>
          <xdr:row>3</xdr:row>
          <xdr:rowOff>0</xdr:rowOff>
        </xdr:to>
        <xdr:sp macro="" textlink="">
          <xdr:nvSpPr>
            <xdr:cNvPr id="13349" name="Drop Down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00000000-0008-0000-00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5</xdr:col>
      <xdr:colOff>0</xdr:colOff>
      <xdr:row>19</xdr:row>
      <xdr:rowOff>0</xdr:rowOff>
    </xdr:to>
    <xdr:grpSp>
      <xdr:nvGrpSpPr>
        <xdr:cNvPr id="6153" name="Group 4">
          <a:extLst>
            <a:ext uri="{FF2B5EF4-FFF2-40B4-BE49-F238E27FC236}">
              <a16:creationId xmlns:a16="http://schemas.microsoft.com/office/drawing/2014/main" id="{00000000-0008-0000-0F00-000009180000}"/>
            </a:ext>
          </a:extLst>
        </xdr:cNvPr>
        <xdr:cNvGrpSpPr>
          <a:grpSpLocks/>
        </xdr:cNvGrpSpPr>
      </xdr:nvGrpSpPr>
      <xdr:grpSpPr bwMode="auto">
        <a:xfrm>
          <a:off x="2052320" y="1950720"/>
          <a:ext cx="1727200" cy="1737360"/>
          <a:chOff x="219" y="204"/>
          <a:chExt cx="185" cy="180"/>
        </a:xfrm>
      </xdr:grpSpPr>
      <xdr:sp macro="" textlink="">
        <xdr:nvSpPr>
          <xdr:cNvPr id="6154" name="Line 1">
            <a:extLst>
              <a:ext uri="{FF2B5EF4-FFF2-40B4-BE49-F238E27FC236}">
                <a16:creationId xmlns:a16="http://schemas.microsoft.com/office/drawing/2014/main" id="{00000000-0008-0000-0F00-00000A180000}"/>
              </a:ext>
            </a:extLst>
          </xdr:cNvPr>
          <xdr:cNvSpPr>
            <a:spLocks noChangeShapeType="1"/>
          </xdr:cNvSpPr>
        </xdr:nvSpPr>
        <xdr:spPr bwMode="auto">
          <a:xfrm>
            <a:off x="314" y="204"/>
            <a:ext cx="0" cy="1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155" name="Line 2">
            <a:extLst>
              <a:ext uri="{FF2B5EF4-FFF2-40B4-BE49-F238E27FC236}">
                <a16:creationId xmlns:a16="http://schemas.microsoft.com/office/drawing/2014/main" id="{00000000-0008-0000-0F00-00000B180000}"/>
              </a:ext>
            </a:extLst>
          </xdr:cNvPr>
          <xdr:cNvSpPr>
            <a:spLocks noChangeShapeType="1"/>
          </xdr:cNvSpPr>
        </xdr:nvSpPr>
        <xdr:spPr bwMode="auto">
          <a:xfrm>
            <a:off x="219" y="295"/>
            <a:ext cx="18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156" name="Oval 3">
            <a:extLst>
              <a:ext uri="{FF2B5EF4-FFF2-40B4-BE49-F238E27FC236}">
                <a16:creationId xmlns:a16="http://schemas.microsoft.com/office/drawing/2014/main" id="{00000000-0008-0000-0F00-00000C180000}"/>
              </a:ext>
            </a:extLst>
          </xdr:cNvPr>
          <xdr:cNvSpPr>
            <a:spLocks noChangeArrowheads="1"/>
          </xdr:cNvSpPr>
        </xdr:nvSpPr>
        <xdr:spPr bwMode="auto">
          <a:xfrm>
            <a:off x="219" y="204"/>
            <a:ext cx="185" cy="18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13</xdr:row>
      <xdr:rowOff>57150</xdr:rowOff>
    </xdr:from>
    <xdr:to>
      <xdr:col>10</xdr:col>
      <xdr:colOff>619125</xdr:colOff>
      <xdr:row>25</xdr:row>
      <xdr:rowOff>133350</xdr:rowOff>
    </xdr:to>
    <xdr:pic>
      <xdr:nvPicPr>
        <xdr:cNvPr id="7207" name="Picture 37">
          <a:extLst>
            <a:ext uri="{FF2B5EF4-FFF2-40B4-BE49-F238E27FC236}">
              <a16:creationId xmlns:a16="http://schemas.microsoft.com/office/drawing/2014/main" id="{00000000-0008-0000-1000-00002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552700"/>
          <a:ext cx="5486400" cy="201930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10</xdr:row>
      <xdr:rowOff>66675</xdr:rowOff>
    </xdr:from>
    <xdr:to>
      <xdr:col>8</xdr:col>
      <xdr:colOff>495300</xdr:colOff>
      <xdr:row>19</xdr:row>
      <xdr:rowOff>66675</xdr:rowOff>
    </xdr:to>
    <xdr:sp macro="" textlink="">
      <xdr:nvSpPr>
        <xdr:cNvPr id="8229" name="Oval 1">
          <a:extLst>
            <a:ext uri="{FF2B5EF4-FFF2-40B4-BE49-F238E27FC236}">
              <a16:creationId xmlns:a16="http://schemas.microsoft.com/office/drawing/2014/main" id="{00000000-0008-0000-1100-000025200000}"/>
            </a:ext>
          </a:extLst>
        </xdr:cNvPr>
        <xdr:cNvSpPr>
          <a:spLocks noChangeArrowheads="1"/>
        </xdr:cNvSpPr>
      </xdr:nvSpPr>
      <xdr:spPr bwMode="auto">
        <a:xfrm>
          <a:off x="4800600" y="2085975"/>
          <a:ext cx="1800225" cy="1714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428625</xdr:colOff>
      <xdr:row>12</xdr:row>
      <xdr:rowOff>28575</xdr:rowOff>
    </xdr:from>
    <xdr:to>
      <xdr:col>8</xdr:col>
      <xdr:colOff>314325</xdr:colOff>
      <xdr:row>15</xdr:row>
      <xdr:rowOff>180975</xdr:rowOff>
    </xdr:to>
    <xdr:sp macro="" textlink="">
      <xdr:nvSpPr>
        <xdr:cNvPr id="8230" name="Line 4">
          <a:extLst>
            <a:ext uri="{FF2B5EF4-FFF2-40B4-BE49-F238E27FC236}">
              <a16:creationId xmlns:a16="http://schemas.microsoft.com/office/drawing/2014/main" id="{00000000-0008-0000-1100-000026200000}"/>
            </a:ext>
          </a:extLst>
        </xdr:cNvPr>
        <xdr:cNvSpPr>
          <a:spLocks noChangeShapeType="1"/>
        </xdr:cNvSpPr>
      </xdr:nvSpPr>
      <xdr:spPr bwMode="auto">
        <a:xfrm flipV="1">
          <a:off x="5695950" y="2428875"/>
          <a:ext cx="723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542925</xdr:colOff>
      <xdr:row>12</xdr:row>
      <xdr:rowOff>28575</xdr:rowOff>
    </xdr:from>
    <xdr:to>
      <xdr:col>8</xdr:col>
      <xdr:colOff>304800</xdr:colOff>
      <xdr:row>12</xdr:row>
      <xdr:rowOff>28575</xdr:rowOff>
    </xdr:to>
    <xdr:sp macro="" textlink="">
      <xdr:nvSpPr>
        <xdr:cNvPr id="8231" name="Line 9">
          <a:extLst>
            <a:ext uri="{FF2B5EF4-FFF2-40B4-BE49-F238E27FC236}">
              <a16:creationId xmlns:a16="http://schemas.microsoft.com/office/drawing/2014/main" id="{00000000-0008-0000-1100-000027200000}"/>
            </a:ext>
          </a:extLst>
        </xdr:cNvPr>
        <xdr:cNvSpPr>
          <a:spLocks noChangeShapeType="1"/>
        </xdr:cNvSpPr>
      </xdr:nvSpPr>
      <xdr:spPr bwMode="auto">
        <a:xfrm>
          <a:off x="4972050" y="24288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542925</xdr:colOff>
      <xdr:row>12</xdr:row>
      <xdr:rowOff>28575</xdr:rowOff>
    </xdr:from>
    <xdr:to>
      <xdr:col>7</xdr:col>
      <xdr:colOff>428625</xdr:colOff>
      <xdr:row>15</xdr:row>
      <xdr:rowOff>180975</xdr:rowOff>
    </xdr:to>
    <xdr:sp macro="" textlink="">
      <xdr:nvSpPr>
        <xdr:cNvPr id="8232" name="Line 8">
          <a:extLst>
            <a:ext uri="{FF2B5EF4-FFF2-40B4-BE49-F238E27FC236}">
              <a16:creationId xmlns:a16="http://schemas.microsoft.com/office/drawing/2014/main" id="{00000000-0008-0000-1100-000028200000}"/>
            </a:ext>
          </a:extLst>
        </xdr:cNvPr>
        <xdr:cNvSpPr>
          <a:spLocks noChangeShapeType="1"/>
        </xdr:cNvSpPr>
      </xdr:nvSpPr>
      <xdr:spPr bwMode="auto">
        <a:xfrm flipH="1" flipV="1">
          <a:off x="4972050" y="2428875"/>
          <a:ext cx="723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14</xdr:row>
      <xdr:rowOff>114300</xdr:rowOff>
    </xdr:from>
    <xdr:to>
      <xdr:col>7</xdr:col>
      <xdr:colOff>685800</xdr:colOff>
      <xdr:row>14</xdr:row>
      <xdr:rowOff>114300</xdr:rowOff>
    </xdr:to>
    <xdr:sp macro="" textlink="">
      <xdr:nvSpPr>
        <xdr:cNvPr id="8233" name="Line 11">
          <a:extLst>
            <a:ext uri="{FF2B5EF4-FFF2-40B4-BE49-F238E27FC236}">
              <a16:creationId xmlns:a16="http://schemas.microsoft.com/office/drawing/2014/main" id="{00000000-0008-0000-1100-000029200000}"/>
            </a:ext>
          </a:extLst>
        </xdr:cNvPr>
        <xdr:cNvSpPr>
          <a:spLocks noChangeShapeType="1"/>
        </xdr:cNvSpPr>
      </xdr:nvSpPr>
      <xdr:spPr bwMode="auto">
        <a:xfrm flipV="1">
          <a:off x="5762625" y="28956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7</xdr:col>
      <xdr:colOff>180975</xdr:colOff>
      <xdr:row>14</xdr:row>
      <xdr:rowOff>114300</xdr:rowOff>
    </xdr:from>
    <xdr:to>
      <xdr:col>7</xdr:col>
      <xdr:colOff>342900</xdr:colOff>
      <xdr:row>14</xdr:row>
      <xdr:rowOff>114300</xdr:rowOff>
    </xdr:to>
    <xdr:sp macro="" textlink="">
      <xdr:nvSpPr>
        <xdr:cNvPr id="8234" name="Line 12">
          <a:extLst>
            <a:ext uri="{FF2B5EF4-FFF2-40B4-BE49-F238E27FC236}">
              <a16:creationId xmlns:a16="http://schemas.microsoft.com/office/drawing/2014/main" id="{00000000-0008-0000-1100-00002A200000}"/>
            </a:ext>
          </a:extLst>
        </xdr:cNvPr>
        <xdr:cNvSpPr>
          <a:spLocks noChangeShapeType="1"/>
        </xdr:cNvSpPr>
      </xdr:nvSpPr>
      <xdr:spPr bwMode="auto">
        <a:xfrm flipH="1" flipV="1">
          <a:off x="5448300" y="28956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8</xdr:col>
      <xdr:colOff>114300</xdr:colOff>
      <xdr:row>12</xdr:row>
      <xdr:rowOff>142875</xdr:rowOff>
    </xdr:from>
    <xdr:to>
      <xdr:col>8</xdr:col>
      <xdr:colOff>390525</xdr:colOff>
      <xdr:row>14</xdr:row>
      <xdr:rowOff>38100</xdr:rowOff>
    </xdr:to>
    <xdr:sp macro="" textlink="">
      <xdr:nvSpPr>
        <xdr:cNvPr id="8235" name="Line 13">
          <a:extLst>
            <a:ext uri="{FF2B5EF4-FFF2-40B4-BE49-F238E27FC236}">
              <a16:creationId xmlns:a16="http://schemas.microsoft.com/office/drawing/2014/main" id="{00000000-0008-0000-1100-00002B200000}"/>
            </a:ext>
          </a:extLst>
        </xdr:cNvPr>
        <xdr:cNvSpPr>
          <a:spLocks noChangeShapeType="1"/>
        </xdr:cNvSpPr>
      </xdr:nvSpPr>
      <xdr:spPr bwMode="auto">
        <a:xfrm flipV="1">
          <a:off x="6219825" y="2543175"/>
          <a:ext cx="276225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7</xdr:col>
      <xdr:colOff>552450</xdr:colOff>
      <xdr:row>15</xdr:row>
      <xdr:rowOff>9525</xdr:rowOff>
    </xdr:from>
    <xdr:to>
      <xdr:col>7</xdr:col>
      <xdr:colOff>809625</xdr:colOff>
      <xdr:row>16</xdr:row>
      <xdr:rowOff>85725</xdr:rowOff>
    </xdr:to>
    <xdr:sp macro="" textlink="">
      <xdr:nvSpPr>
        <xdr:cNvPr id="8236" name="Line 14">
          <a:extLst>
            <a:ext uri="{FF2B5EF4-FFF2-40B4-BE49-F238E27FC236}">
              <a16:creationId xmlns:a16="http://schemas.microsoft.com/office/drawing/2014/main" id="{00000000-0008-0000-1100-00002C200000}"/>
            </a:ext>
          </a:extLst>
        </xdr:cNvPr>
        <xdr:cNvSpPr>
          <a:spLocks noChangeShapeType="1"/>
        </xdr:cNvSpPr>
      </xdr:nvSpPr>
      <xdr:spPr bwMode="auto">
        <a:xfrm flipH="1">
          <a:off x="5819775" y="2981325"/>
          <a:ext cx="2571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6</xdr:col>
      <xdr:colOff>542925</xdr:colOff>
      <xdr:row>8</xdr:row>
      <xdr:rowOff>171450</xdr:rowOff>
    </xdr:from>
    <xdr:to>
      <xdr:col>6</xdr:col>
      <xdr:colOff>542925</xdr:colOff>
      <xdr:row>11</xdr:row>
      <xdr:rowOff>171450</xdr:rowOff>
    </xdr:to>
    <xdr:sp macro="" textlink="">
      <xdr:nvSpPr>
        <xdr:cNvPr id="8237" name="Line 15">
          <a:extLst>
            <a:ext uri="{FF2B5EF4-FFF2-40B4-BE49-F238E27FC236}">
              <a16:creationId xmlns:a16="http://schemas.microsoft.com/office/drawing/2014/main" id="{00000000-0008-0000-1100-00002D200000}"/>
            </a:ext>
          </a:extLst>
        </xdr:cNvPr>
        <xdr:cNvSpPr>
          <a:spLocks noChangeShapeType="1"/>
        </xdr:cNvSpPr>
      </xdr:nvSpPr>
      <xdr:spPr bwMode="auto">
        <a:xfrm flipV="1">
          <a:off x="4972050" y="180975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323850</xdr:colOff>
      <xdr:row>8</xdr:row>
      <xdr:rowOff>180975</xdr:rowOff>
    </xdr:from>
    <xdr:to>
      <xdr:col>8</xdr:col>
      <xdr:colOff>323850</xdr:colOff>
      <xdr:row>11</xdr:row>
      <xdr:rowOff>152400</xdr:rowOff>
    </xdr:to>
    <xdr:sp macro="" textlink="">
      <xdr:nvSpPr>
        <xdr:cNvPr id="8238" name="Line 16">
          <a:extLst>
            <a:ext uri="{FF2B5EF4-FFF2-40B4-BE49-F238E27FC236}">
              <a16:creationId xmlns:a16="http://schemas.microsoft.com/office/drawing/2014/main" id="{00000000-0008-0000-1100-00002E200000}"/>
            </a:ext>
          </a:extLst>
        </xdr:cNvPr>
        <xdr:cNvSpPr>
          <a:spLocks noChangeShapeType="1"/>
        </xdr:cNvSpPr>
      </xdr:nvSpPr>
      <xdr:spPr bwMode="auto">
        <a:xfrm flipV="1">
          <a:off x="6429375" y="18192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514350</xdr:colOff>
      <xdr:row>9</xdr:row>
      <xdr:rowOff>114300</xdr:rowOff>
    </xdr:from>
    <xdr:to>
      <xdr:col>8</xdr:col>
      <xdr:colOff>323850</xdr:colOff>
      <xdr:row>9</xdr:row>
      <xdr:rowOff>114300</xdr:rowOff>
    </xdr:to>
    <xdr:sp macro="" textlink="">
      <xdr:nvSpPr>
        <xdr:cNvPr id="8239" name="Line 17">
          <a:extLst>
            <a:ext uri="{FF2B5EF4-FFF2-40B4-BE49-F238E27FC236}">
              <a16:creationId xmlns:a16="http://schemas.microsoft.com/office/drawing/2014/main" id="{00000000-0008-0000-1100-00002F200000}"/>
            </a:ext>
          </a:extLst>
        </xdr:cNvPr>
        <xdr:cNvSpPr>
          <a:spLocks noChangeShapeType="1"/>
        </xdr:cNvSpPr>
      </xdr:nvSpPr>
      <xdr:spPr bwMode="auto">
        <a:xfrm>
          <a:off x="5781675" y="19431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6</xdr:col>
      <xdr:colOff>542925</xdr:colOff>
      <xdr:row>9</xdr:row>
      <xdr:rowOff>114300</xdr:rowOff>
    </xdr:from>
    <xdr:to>
      <xdr:col>7</xdr:col>
      <xdr:colOff>352425</xdr:colOff>
      <xdr:row>9</xdr:row>
      <xdr:rowOff>114300</xdr:rowOff>
    </xdr:to>
    <xdr:sp macro="" textlink="">
      <xdr:nvSpPr>
        <xdr:cNvPr id="8240" name="Line 18">
          <a:extLst>
            <a:ext uri="{FF2B5EF4-FFF2-40B4-BE49-F238E27FC236}">
              <a16:creationId xmlns:a16="http://schemas.microsoft.com/office/drawing/2014/main" id="{00000000-0008-0000-1100-000030200000}"/>
            </a:ext>
          </a:extLst>
        </xdr:cNvPr>
        <xdr:cNvSpPr>
          <a:spLocks noChangeShapeType="1"/>
        </xdr:cNvSpPr>
      </xdr:nvSpPr>
      <xdr:spPr bwMode="auto">
        <a:xfrm flipH="1" flipV="1">
          <a:off x="4972050" y="19431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7</xdr:col>
      <xdr:colOff>361950</xdr:colOff>
      <xdr:row>10</xdr:row>
      <xdr:rowOff>133350</xdr:rowOff>
    </xdr:from>
    <xdr:to>
      <xdr:col>7</xdr:col>
      <xdr:colOff>523875</xdr:colOff>
      <xdr:row>11</xdr:row>
      <xdr:rowOff>123825</xdr:rowOff>
    </xdr:to>
    <xdr:sp macro="" textlink="">
      <xdr:nvSpPr>
        <xdr:cNvPr id="8211" name="Text 19">
          <a:extLst>
            <a:ext uri="{FF2B5EF4-FFF2-40B4-BE49-F238E27FC236}">
              <a16:creationId xmlns:a16="http://schemas.microsoft.com/office/drawing/2014/main" id="{00000000-0008-0000-1100-000013200000}"/>
            </a:ext>
          </a:extLst>
        </xdr:cNvPr>
        <xdr:cNvSpPr txBox="1">
          <a:spLocks noChangeArrowheads="1"/>
        </xdr:cNvSpPr>
      </xdr:nvSpPr>
      <xdr:spPr bwMode="auto">
        <a:xfrm>
          <a:off x="5629275" y="2152650"/>
          <a:ext cx="161925" cy="180975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h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438150</xdr:colOff>
      <xdr:row>11</xdr:row>
      <xdr:rowOff>123825</xdr:rowOff>
    </xdr:from>
    <xdr:to>
      <xdr:col>7</xdr:col>
      <xdr:colOff>438150</xdr:colOff>
      <xdr:row>12</xdr:row>
      <xdr:rowOff>28575</xdr:rowOff>
    </xdr:to>
    <xdr:sp macro="" textlink="">
      <xdr:nvSpPr>
        <xdr:cNvPr id="8242" name="Line 20">
          <a:extLst>
            <a:ext uri="{FF2B5EF4-FFF2-40B4-BE49-F238E27FC236}">
              <a16:creationId xmlns:a16="http://schemas.microsoft.com/office/drawing/2014/main" id="{00000000-0008-0000-1100-000032200000}"/>
            </a:ext>
          </a:extLst>
        </xdr:cNvPr>
        <xdr:cNvSpPr>
          <a:spLocks noChangeShapeType="1"/>
        </xdr:cNvSpPr>
      </xdr:nvSpPr>
      <xdr:spPr bwMode="auto">
        <a:xfrm>
          <a:off x="5705475" y="2333625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7</xdr:col>
      <xdr:colOff>438150</xdr:colOff>
      <xdr:row>10</xdr:row>
      <xdr:rowOff>66675</xdr:rowOff>
    </xdr:from>
    <xdr:to>
      <xdr:col>7</xdr:col>
      <xdr:colOff>438150</xdr:colOff>
      <xdr:row>10</xdr:row>
      <xdr:rowOff>152400</xdr:rowOff>
    </xdr:to>
    <xdr:sp macro="" textlink="">
      <xdr:nvSpPr>
        <xdr:cNvPr id="8243" name="Line 21">
          <a:extLst>
            <a:ext uri="{FF2B5EF4-FFF2-40B4-BE49-F238E27FC236}">
              <a16:creationId xmlns:a16="http://schemas.microsoft.com/office/drawing/2014/main" id="{00000000-0008-0000-1100-000033200000}"/>
            </a:ext>
          </a:extLst>
        </xdr:cNvPr>
        <xdr:cNvSpPr>
          <a:spLocks noChangeShapeType="1"/>
        </xdr:cNvSpPr>
      </xdr:nvSpPr>
      <xdr:spPr bwMode="auto">
        <a:xfrm flipV="1">
          <a:off x="5705475" y="208597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10</xdr:row>
      <xdr:rowOff>38100</xdr:rowOff>
    </xdr:from>
    <xdr:to>
      <xdr:col>6</xdr:col>
      <xdr:colOff>361950</xdr:colOff>
      <xdr:row>16</xdr:row>
      <xdr:rowOff>180975</xdr:rowOff>
    </xdr:to>
    <xdr:sp macro="" textlink="">
      <xdr:nvSpPr>
        <xdr:cNvPr id="9240" name="Oval 3">
          <a:extLst>
            <a:ext uri="{FF2B5EF4-FFF2-40B4-BE49-F238E27FC236}">
              <a16:creationId xmlns:a16="http://schemas.microsoft.com/office/drawing/2014/main" id="{00000000-0008-0000-1200-000018240000}"/>
            </a:ext>
          </a:extLst>
        </xdr:cNvPr>
        <xdr:cNvSpPr>
          <a:spLocks noChangeArrowheads="1"/>
        </xdr:cNvSpPr>
      </xdr:nvSpPr>
      <xdr:spPr bwMode="auto">
        <a:xfrm>
          <a:off x="4533900" y="2019300"/>
          <a:ext cx="1371600" cy="1285875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 macro="" textlink="">
      <xdr:nvSpPr>
        <xdr:cNvPr id="9241" name="Rectangle 1">
          <a:extLst>
            <a:ext uri="{FF2B5EF4-FFF2-40B4-BE49-F238E27FC236}">
              <a16:creationId xmlns:a16="http://schemas.microsoft.com/office/drawing/2014/main" id="{00000000-0008-0000-1200-000019240000}"/>
            </a:ext>
          </a:extLst>
        </xdr:cNvPr>
        <xdr:cNvSpPr>
          <a:spLocks noChangeArrowheads="1"/>
        </xdr:cNvSpPr>
      </xdr:nvSpPr>
      <xdr:spPr bwMode="auto">
        <a:xfrm>
          <a:off x="4733925" y="2209800"/>
          <a:ext cx="962025" cy="904875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 macro="" textlink="">
      <xdr:nvSpPr>
        <xdr:cNvPr id="9242" name="Oval 2">
          <a:extLst>
            <a:ext uri="{FF2B5EF4-FFF2-40B4-BE49-F238E27FC236}">
              <a16:creationId xmlns:a16="http://schemas.microsoft.com/office/drawing/2014/main" id="{00000000-0008-0000-1200-00001A240000}"/>
            </a:ext>
          </a:extLst>
        </xdr:cNvPr>
        <xdr:cNvSpPr>
          <a:spLocks noChangeArrowheads="1"/>
        </xdr:cNvSpPr>
      </xdr:nvSpPr>
      <xdr:spPr bwMode="auto">
        <a:xfrm>
          <a:off x="4733925" y="2209800"/>
          <a:ext cx="962025" cy="904875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390525</xdr:colOff>
      <xdr:row>13</xdr:row>
      <xdr:rowOff>0</xdr:rowOff>
    </xdr:from>
    <xdr:to>
      <xdr:col>5</xdr:col>
      <xdr:colOff>638175</xdr:colOff>
      <xdr:row>14</xdr:row>
      <xdr:rowOff>28575</xdr:rowOff>
    </xdr:to>
    <xdr:sp macro="" textlink="">
      <xdr:nvSpPr>
        <xdr:cNvPr id="9220" name="Text 4">
          <a:extLst>
            <a:ext uri="{FF2B5EF4-FFF2-40B4-BE49-F238E27FC236}">
              <a16:creationId xmlns:a16="http://schemas.microsoft.com/office/drawing/2014/main" id="{00000000-0008-0000-1200-000004240000}"/>
            </a:ext>
          </a:extLst>
        </xdr:cNvPr>
        <xdr:cNvSpPr txBox="1">
          <a:spLocks noChangeArrowheads="1"/>
        </xdr:cNvSpPr>
      </xdr:nvSpPr>
      <xdr:spPr bwMode="auto">
        <a:xfrm>
          <a:off x="5095875" y="2552700"/>
          <a:ext cx="247650" cy="219075"/>
        </a:xfrm>
        <a:prstGeom prst="rect">
          <a:avLst/>
        </a:prstGeom>
        <a:solidFill>
          <a:srgbClr val="FFFF00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IC</a:t>
          </a:r>
        </a:p>
      </xdr:txBody>
    </xdr:sp>
    <xdr:clientData/>
  </xdr:twoCellAnchor>
  <xdr:twoCellAnchor>
    <xdr:from>
      <xdr:col>5</xdr:col>
      <xdr:colOff>28575</xdr:colOff>
      <xdr:row>13</xdr:row>
      <xdr:rowOff>104775</xdr:rowOff>
    </xdr:from>
    <xdr:to>
      <xdr:col>5</xdr:col>
      <xdr:colOff>381000</xdr:colOff>
      <xdr:row>13</xdr:row>
      <xdr:rowOff>104775</xdr:rowOff>
    </xdr:to>
    <xdr:sp macro="" textlink="">
      <xdr:nvSpPr>
        <xdr:cNvPr id="9244" name="Line 5">
          <a:extLst>
            <a:ext uri="{FF2B5EF4-FFF2-40B4-BE49-F238E27FC236}">
              <a16:creationId xmlns:a16="http://schemas.microsoft.com/office/drawing/2014/main" id="{00000000-0008-0000-1200-00001C240000}"/>
            </a:ext>
          </a:extLst>
        </xdr:cNvPr>
        <xdr:cNvSpPr>
          <a:spLocks noChangeShapeType="1"/>
        </xdr:cNvSpPr>
      </xdr:nvSpPr>
      <xdr:spPr bwMode="auto">
        <a:xfrm flipH="1">
          <a:off x="4733925" y="2657475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600075</xdr:colOff>
      <xdr:row>13</xdr:row>
      <xdr:rowOff>104775</xdr:rowOff>
    </xdr:from>
    <xdr:to>
      <xdr:col>6</xdr:col>
      <xdr:colOff>152400</xdr:colOff>
      <xdr:row>13</xdr:row>
      <xdr:rowOff>104775</xdr:rowOff>
    </xdr:to>
    <xdr:sp macro="" textlink="">
      <xdr:nvSpPr>
        <xdr:cNvPr id="9245" name="Line 6">
          <a:extLst>
            <a:ext uri="{FF2B5EF4-FFF2-40B4-BE49-F238E27FC236}">
              <a16:creationId xmlns:a16="http://schemas.microsoft.com/office/drawing/2014/main" id="{00000000-0008-0000-1200-00001D240000}"/>
            </a:ext>
          </a:extLst>
        </xdr:cNvPr>
        <xdr:cNvSpPr>
          <a:spLocks noChangeShapeType="1"/>
        </xdr:cNvSpPr>
      </xdr:nvSpPr>
      <xdr:spPr bwMode="auto">
        <a:xfrm>
          <a:off x="5305425" y="2657475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161925</xdr:colOff>
      <xdr:row>16</xdr:row>
      <xdr:rowOff>9525</xdr:rowOff>
    </xdr:from>
    <xdr:to>
      <xdr:col>6</xdr:col>
      <xdr:colOff>571500</xdr:colOff>
      <xdr:row>17</xdr:row>
      <xdr:rowOff>47625</xdr:rowOff>
    </xdr:to>
    <xdr:sp macro="" textlink="">
      <xdr:nvSpPr>
        <xdr:cNvPr id="9223" name="Text 7">
          <a:extLst>
            <a:ext uri="{FF2B5EF4-FFF2-40B4-BE49-F238E27FC236}">
              <a16:creationId xmlns:a16="http://schemas.microsoft.com/office/drawing/2014/main" id="{00000000-0008-0000-1200-000007240000}"/>
            </a:ext>
          </a:extLst>
        </xdr:cNvPr>
        <xdr:cNvSpPr txBox="1">
          <a:spLocks noChangeArrowheads="1"/>
        </xdr:cNvSpPr>
      </xdr:nvSpPr>
      <xdr:spPr bwMode="auto">
        <a:xfrm>
          <a:off x="5705475" y="3133725"/>
          <a:ext cx="409575" cy="22860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OC</a:t>
          </a:r>
        </a:p>
      </xdr:txBody>
    </xdr:sp>
    <xdr:clientData/>
  </xdr:twoCellAnchor>
  <xdr:twoCellAnchor>
    <xdr:from>
      <xdr:col>6</xdr:col>
      <xdr:colOff>323850</xdr:colOff>
      <xdr:row>12</xdr:row>
      <xdr:rowOff>19050</xdr:rowOff>
    </xdr:from>
    <xdr:to>
      <xdr:col>6</xdr:col>
      <xdr:colOff>800100</xdr:colOff>
      <xdr:row>14</xdr:row>
      <xdr:rowOff>114300</xdr:rowOff>
    </xdr:to>
    <xdr:sp macro="" textlink="">
      <xdr:nvSpPr>
        <xdr:cNvPr id="9247" name="Line 8">
          <a:extLst>
            <a:ext uri="{FF2B5EF4-FFF2-40B4-BE49-F238E27FC236}">
              <a16:creationId xmlns:a16="http://schemas.microsoft.com/office/drawing/2014/main" id="{00000000-0008-0000-1200-00001F240000}"/>
            </a:ext>
          </a:extLst>
        </xdr:cNvPr>
        <xdr:cNvSpPr>
          <a:spLocks noChangeShapeType="1"/>
        </xdr:cNvSpPr>
      </xdr:nvSpPr>
      <xdr:spPr bwMode="auto">
        <a:xfrm>
          <a:off x="5867400" y="2381250"/>
          <a:ext cx="47625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171450</xdr:colOff>
      <xdr:row>16</xdr:row>
      <xdr:rowOff>123825</xdr:rowOff>
    </xdr:from>
    <xdr:to>
      <xdr:col>5</xdr:col>
      <xdr:colOff>619125</xdr:colOff>
      <xdr:row>19</xdr:row>
      <xdr:rowOff>0</xdr:rowOff>
    </xdr:to>
    <xdr:sp macro="" textlink="">
      <xdr:nvSpPr>
        <xdr:cNvPr id="9248" name="Line 10">
          <a:extLst>
            <a:ext uri="{FF2B5EF4-FFF2-40B4-BE49-F238E27FC236}">
              <a16:creationId xmlns:a16="http://schemas.microsoft.com/office/drawing/2014/main" id="{00000000-0008-0000-1200-000020240000}"/>
            </a:ext>
          </a:extLst>
        </xdr:cNvPr>
        <xdr:cNvSpPr>
          <a:spLocks noChangeShapeType="1"/>
        </xdr:cNvSpPr>
      </xdr:nvSpPr>
      <xdr:spPr bwMode="auto">
        <a:xfrm>
          <a:off x="4876800" y="3248025"/>
          <a:ext cx="44767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609600</xdr:colOff>
      <xdr:row>17</xdr:row>
      <xdr:rowOff>28575</xdr:rowOff>
    </xdr:from>
    <xdr:to>
      <xdr:col>6</xdr:col>
      <xdr:colOff>104775</xdr:colOff>
      <xdr:row>18</xdr:row>
      <xdr:rowOff>171450</xdr:rowOff>
    </xdr:to>
    <xdr:sp macro="" textlink="">
      <xdr:nvSpPr>
        <xdr:cNvPr id="9249" name="Line 11">
          <a:extLst>
            <a:ext uri="{FF2B5EF4-FFF2-40B4-BE49-F238E27FC236}">
              <a16:creationId xmlns:a16="http://schemas.microsoft.com/office/drawing/2014/main" id="{00000000-0008-0000-1200-000021240000}"/>
            </a:ext>
          </a:extLst>
        </xdr:cNvPr>
        <xdr:cNvSpPr>
          <a:spLocks noChangeShapeType="1"/>
        </xdr:cNvSpPr>
      </xdr:nvSpPr>
      <xdr:spPr bwMode="auto">
        <a:xfrm flipH="1">
          <a:off x="5314950" y="3343275"/>
          <a:ext cx="3333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342900</xdr:colOff>
      <xdr:row>14</xdr:row>
      <xdr:rowOff>9525</xdr:rowOff>
    </xdr:from>
    <xdr:to>
      <xdr:col>6</xdr:col>
      <xdr:colOff>685800</xdr:colOff>
      <xdr:row>15</xdr:row>
      <xdr:rowOff>161925</xdr:rowOff>
    </xdr:to>
    <xdr:sp macro="" textlink="">
      <xdr:nvSpPr>
        <xdr:cNvPr id="9250" name="Line 12">
          <a:extLst>
            <a:ext uri="{FF2B5EF4-FFF2-40B4-BE49-F238E27FC236}">
              <a16:creationId xmlns:a16="http://schemas.microsoft.com/office/drawing/2014/main" id="{00000000-0008-0000-1200-000022240000}"/>
            </a:ext>
          </a:extLst>
        </xdr:cNvPr>
        <xdr:cNvSpPr>
          <a:spLocks noChangeShapeType="1"/>
        </xdr:cNvSpPr>
      </xdr:nvSpPr>
      <xdr:spPr bwMode="auto">
        <a:xfrm flipV="1">
          <a:off x="5886450" y="2752725"/>
          <a:ext cx="3429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 macro="" textlink="">
      <xdr:nvSpPr>
        <xdr:cNvPr id="15395" name="Line 1">
          <a:extLst>
            <a:ext uri="{FF2B5EF4-FFF2-40B4-BE49-F238E27FC236}">
              <a16:creationId xmlns:a16="http://schemas.microsoft.com/office/drawing/2014/main" id="{00000000-0008-0000-0100-0000233C0000}"/>
            </a:ext>
          </a:extLst>
        </xdr:cNvPr>
        <xdr:cNvSpPr>
          <a:spLocks noChangeShapeType="1"/>
        </xdr:cNvSpPr>
      </xdr:nvSpPr>
      <xdr:spPr bwMode="auto">
        <a:xfrm flipH="1">
          <a:off x="3514725" y="14287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20</xdr:col>
      <xdr:colOff>123825</xdr:colOff>
      <xdr:row>57</xdr:row>
      <xdr:rowOff>85725</xdr:rowOff>
    </xdr:from>
    <xdr:to>
      <xdr:col>25</xdr:col>
      <xdr:colOff>0</xdr:colOff>
      <xdr:row>61</xdr:row>
      <xdr:rowOff>152400</xdr:rowOff>
    </xdr:to>
    <xdr:pic>
      <xdr:nvPicPr>
        <xdr:cNvPr id="15396" name="Picture 2" descr="baby1">
          <a:extLst>
            <a:ext uri="{FF2B5EF4-FFF2-40B4-BE49-F238E27FC236}">
              <a16:creationId xmlns:a16="http://schemas.microsoft.com/office/drawing/2014/main" id="{00000000-0008-0000-0100-00002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10325" y="10953750"/>
          <a:ext cx="14478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285750</xdr:colOff>
      <xdr:row>29</xdr:row>
      <xdr:rowOff>28575</xdr:rowOff>
    </xdr:from>
    <xdr:to>
      <xdr:col>25</xdr:col>
      <xdr:colOff>114300</xdr:colOff>
      <xdr:row>33</xdr:row>
      <xdr:rowOff>171450</xdr:rowOff>
    </xdr:to>
    <xdr:pic>
      <xdr:nvPicPr>
        <xdr:cNvPr id="15397" name="Picture 3" descr="baby6">
          <a:extLst>
            <a:ext uri="{FF2B5EF4-FFF2-40B4-BE49-F238E27FC236}">
              <a16:creationId xmlns:a16="http://schemas.microsoft.com/office/drawing/2014/main" id="{00000000-0008-0000-0100-00002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72250" y="4495800"/>
          <a:ext cx="14001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47625</xdr:colOff>
      <xdr:row>28</xdr:row>
      <xdr:rowOff>200025</xdr:rowOff>
    </xdr:from>
    <xdr:to>
      <xdr:col>14</xdr:col>
      <xdr:colOff>219075</xdr:colOff>
      <xdr:row>33</xdr:row>
      <xdr:rowOff>133350</xdr:rowOff>
    </xdr:to>
    <xdr:pic>
      <xdr:nvPicPr>
        <xdr:cNvPr id="15398" name="Picture 4" descr="baby7">
          <a:extLst>
            <a:ext uri="{FF2B5EF4-FFF2-40B4-BE49-F238E27FC236}">
              <a16:creationId xmlns:a16="http://schemas.microsoft.com/office/drawing/2014/main" id="{00000000-0008-0000-0100-00002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4438650"/>
          <a:ext cx="14287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57</xdr:row>
      <xdr:rowOff>76200</xdr:rowOff>
    </xdr:from>
    <xdr:to>
      <xdr:col>7</xdr:col>
      <xdr:colOff>47625</xdr:colOff>
      <xdr:row>61</xdr:row>
      <xdr:rowOff>161925</xdr:rowOff>
    </xdr:to>
    <xdr:pic>
      <xdr:nvPicPr>
        <xdr:cNvPr id="15399" name="Picture 5" descr="baby8">
          <a:extLst>
            <a:ext uri="{FF2B5EF4-FFF2-40B4-BE49-F238E27FC236}">
              <a16:creationId xmlns:a16="http://schemas.microsoft.com/office/drawing/2014/main" id="{00000000-0008-0000-0100-00002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81075" y="10944225"/>
          <a:ext cx="12668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257175</xdr:colOff>
      <xdr:row>57</xdr:row>
      <xdr:rowOff>95250</xdr:rowOff>
    </xdr:from>
    <xdr:to>
      <xdr:col>16</xdr:col>
      <xdr:colOff>104775</xdr:colOff>
      <xdr:row>61</xdr:row>
      <xdr:rowOff>142875</xdr:rowOff>
    </xdr:to>
    <xdr:pic>
      <xdr:nvPicPr>
        <xdr:cNvPr id="15400" name="Picture 6" descr="baby9">
          <a:extLst>
            <a:ext uri="{FF2B5EF4-FFF2-40B4-BE49-F238E27FC236}">
              <a16:creationId xmlns:a16="http://schemas.microsoft.com/office/drawing/2014/main" id="{00000000-0008-0000-0100-00002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14750" y="10963275"/>
          <a:ext cx="14192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</xdr:colOff>
      <xdr:row>12</xdr:row>
      <xdr:rowOff>85725</xdr:rowOff>
    </xdr:from>
    <xdr:to>
      <xdr:col>16</xdr:col>
      <xdr:colOff>95250</xdr:colOff>
      <xdr:row>19</xdr:row>
      <xdr:rowOff>95250</xdr:rowOff>
    </xdr:to>
    <xdr:pic>
      <xdr:nvPicPr>
        <xdr:cNvPr id="15401" name="Picture 7">
          <a:extLst>
            <a:ext uri="{FF2B5EF4-FFF2-40B4-BE49-F238E27FC236}">
              <a16:creationId xmlns:a16="http://schemas.microsoft.com/office/drawing/2014/main" id="{00000000-0008-0000-0100-00002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476625" y="1104900"/>
          <a:ext cx="16478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295275</xdr:colOff>
      <xdr:row>12</xdr:row>
      <xdr:rowOff>114300</xdr:rowOff>
    </xdr:from>
    <xdr:to>
      <xdr:col>6</xdr:col>
      <xdr:colOff>209550</xdr:colOff>
      <xdr:row>20</xdr:row>
      <xdr:rowOff>0</xdr:rowOff>
    </xdr:to>
    <xdr:pic>
      <xdr:nvPicPr>
        <xdr:cNvPr id="15402" name="Picture 8">
          <a:extLst>
            <a:ext uri="{FF2B5EF4-FFF2-40B4-BE49-F238E27FC236}">
              <a16:creationId xmlns:a16="http://schemas.microsoft.com/office/drawing/2014/main" id="{00000000-0008-0000-0100-00002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923925" y="1133475"/>
          <a:ext cx="117157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29</xdr:row>
      <xdr:rowOff>0</xdr:rowOff>
    </xdr:from>
    <xdr:to>
      <xdr:col>7</xdr:col>
      <xdr:colOff>9525</xdr:colOff>
      <xdr:row>33</xdr:row>
      <xdr:rowOff>104775</xdr:rowOff>
    </xdr:to>
    <xdr:pic>
      <xdr:nvPicPr>
        <xdr:cNvPr id="15403" name="Picture 9" descr="baby3">
          <a:extLst>
            <a:ext uri="{FF2B5EF4-FFF2-40B4-BE49-F238E27FC236}">
              <a16:creationId xmlns:a16="http://schemas.microsoft.com/office/drawing/2014/main" id="{00000000-0008-0000-0100-00002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866775" y="4467225"/>
          <a:ext cx="13430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28575</xdr:colOff>
      <xdr:row>12</xdr:row>
      <xdr:rowOff>57150</xdr:rowOff>
    </xdr:from>
    <xdr:to>
      <xdr:col>24</xdr:col>
      <xdr:colOff>66675</xdr:colOff>
      <xdr:row>19</xdr:row>
      <xdr:rowOff>9525</xdr:rowOff>
    </xdr:to>
    <xdr:pic>
      <xdr:nvPicPr>
        <xdr:cNvPr id="15404" name="Picture 10">
          <a:extLst>
            <a:ext uri="{FF2B5EF4-FFF2-40B4-BE49-F238E27FC236}">
              <a16:creationId xmlns:a16="http://schemas.microsoft.com/office/drawing/2014/main" id="{00000000-0008-0000-0100-00002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6000750" y="1076325"/>
          <a:ext cx="16097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43</xdr:row>
      <xdr:rowOff>57150</xdr:rowOff>
    </xdr:from>
    <xdr:to>
      <xdr:col>7</xdr:col>
      <xdr:colOff>95250</xdr:colOff>
      <xdr:row>48</xdr:row>
      <xdr:rowOff>57150</xdr:rowOff>
    </xdr:to>
    <xdr:pic>
      <xdr:nvPicPr>
        <xdr:cNvPr id="15405" name="Picture 11">
          <a:extLst>
            <a:ext uri="{FF2B5EF4-FFF2-40B4-BE49-F238E27FC236}">
              <a16:creationId xmlns:a16="http://schemas.microsoft.com/office/drawing/2014/main" id="{00000000-0008-0000-0100-00002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762000" y="7724775"/>
          <a:ext cx="1533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42</xdr:row>
      <xdr:rowOff>200025</xdr:rowOff>
    </xdr:from>
    <xdr:to>
      <xdr:col>16</xdr:col>
      <xdr:colOff>200025</xdr:colOff>
      <xdr:row>47</xdr:row>
      <xdr:rowOff>171450</xdr:rowOff>
    </xdr:to>
    <xdr:pic>
      <xdr:nvPicPr>
        <xdr:cNvPr id="15406" name="Picture 12">
          <a:extLst>
            <a:ext uri="{FF2B5EF4-FFF2-40B4-BE49-F238E27FC236}">
              <a16:creationId xmlns:a16="http://schemas.microsoft.com/office/drawing/2014/main" id="{00000000-0008-0000-0100-00002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771900" y="7639050"/>
          <a:ext cx="14573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9525</xdr:colOff>
      <xdr:row>42</xdr:row>
      <xdr:rowOff>200025</xdr:rowOff>
    </xdr:from>
    <xdr:to>
      <xdr:col>25</xdr:col>
      <xdr:colOff>19050</xdr:colOff>
      <xdr:row>47</xdr:row>
      <xdr:rowOff>123825</xdr:rowOff>
    </xdr:to>
    <xdr:pic>
      <xdr:nvPicPr>
        <xdr:cNvPr id="15407" name="Picture 13">
          <a:extLst>
            <a:ext uri="{FF2B5EF4-FFF2-40B4-BE49-F238E27FC236}">
              <a16:creationId xmlns:a16="http://schemas.microsoft.com/office/drawing/2014/main" id="{00000000-0008-0000-0100-00002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610350" y="7639050"/>
          <a:ext cx="12668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266700</xdr:colOff>
      <xdr:row>11</xdr:row>
      <xdr:rowOff>19050</xdr:rowOff>
    </xdr:from>
    <xdr:to>
      <xdr:col>7</xdr:col>
      <xdr:colOff>76200</xdr:colOff>
      <xdr:row>12</xdr:row>
      <xdr:rowOff>209550</xdr:rowOff>
    </xdr:to>
    <xdr:pic>
      <xdr:nvPicPr>
        <xdr:cNvPr id="15408" name="Picture 14">
          <a:extLst>
            <a:ext uri="{FF2B5EF4-FFF2-40B4-BE49-F238E27FC236}">
              <a16:creationId xmlns:a16="http://schemas.microsoft.com/office/drawing/2014/main" id="{00000000-0008-0000-0100-00003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 l="14774" t="7143" r="32954" b="17143"/>
        <a:stretch>
          <a:fillRect/>
        </a:stretch>
      </xdr:blipFill>
      <xdr:spPr bwMode="auto">
        <a:xfrm>
          <a:off x="1838325" y="723900"/>
          <a:ext cx="4381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304800</xdr:colOff>
      <xdr:row>15</xdr:row>
      <xdr:rowOff>142875</xdr:rowOff>
    </xdr:from>
    <xdr:to>
      <xdr:col>17</xdr:col>
      <xdr:colOff>104775</xdr:colOff>
      <xdr:row>19</xdr:row>
      <xdr:rowOff>76200</xdr:rowOff>
    </xdr:to>
    <xdr:pic>
      <xdr:nvPicPr>
        <xdr:cNvPr id="15409" name="Picture 15">
          <a:extLst>
            <a:ext uri="{FF2B5EF4-FFF2-40B4-BE49-F238E27FC236}">
              <a16:creationId xmlns:a16="http://schemas.microsoft.com/office/drawing/2014/main" id="{00000000-0008-0000-0100-00003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 l="21666" t="6061" r="3334" b="1515"/>
        <a:stretch>
          <a:fillRect/>
        </a:stretch>
      </xdr:blipFill>
      <xdr:spPr bwMode="auto">
        <a:xfrm>
          <a:off x="5019675" y="1743075"/>
          <a:ext cx="4286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295275</xdr:colOff>
      <xdr:row>16</xdr:row>
      <xdr:rowOff>133350</xdr:rowOff>
    </xdr:from>
    <xdr:to>
      <xdr:col>25</xdr:col>
      <xdr:colOff>104775</xdr:colOff>
      <xdr:row>18</xdr:row>
      <xdr:rowOff>104775</xdr:rowOff>
    </xdr:to>
    <xdr:pic>
      <xdr:nvPicPr>
        <xdr:cNvPr id="15410" name="Picture 16">
          <a:extLst>
            <a:ext uri="{FF2B5EF4-FFF2-40B4-BE49-F238E27FC236}">
              <a16:creationId xmlns:a16="http://schemas.microsoft.com/office/drawing/2014/main" id="{00000000-0008-0000-0100-00003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7524750" y="1895475"/>
          <a:ext cx="4381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228600</xdr:colOff>
      <xdr:row>31</xdr:row>
      <xdr:rowOff>104775</xdr:rowOff>
    </xdr:from>
    <xdr:to>
      <xdr:col>18</xdr:col>
      <xdr:colOff>47625</xdr:colOff>
      <xdr:row>33</xdr:row>
      <xdr:rowOff>85725</xdr:rowOff>
    </xdr:to>
    <xdr:pic>
      <xdr:nvPicPr>
        <xdr:cNvPr id="15411" name="Picture 17">
          <a:extLst>
            <a:ext uri="{FF2B5EF4-FFF2-40B4-BE49-F238E27FC236}">
              <a16:creationId xmlns:a16="http://schemas.microsoft.com/office/drawing/2014/main" id="{00000000-0008-0000-0100-00003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4629150" y="5029200"/>
          <a:ext cx="10763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6</xdr:row>
          <xdr:rowOff>114300</xdr:rowOff>
        </xdr:from>
        <xdr:to>
          <xdr:col>4</xdr:col>
          <xdr:colOff>45720</xdr:colOff>
          <xdr:row>13</xdr:row>
          <xdr:rowOff>15240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 One That Applies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7</xdr:row>
          <xdr:rowOff>60960</xdr:rowOff>
        </xdr:from>
        <xdr:to>
          <xdr:col>3</xdr:col>
          <xdr:colOff>45720</xdr:colOff>
          <xdr:row>8</xdr:row>
          <xdr:rowOff>99060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Couch Potato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9</xdr:row>
          <xdr:rowOff>38100</xdr:rowOff>
        </xdr:from>
        <xdr:to>
          <xdr:col>2</xdr:col>
          <xdr:colOff>830580</xdr:colOff>
          <xdr:row>10</xdr:row>
          <xdr:rowOff>76200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4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Average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11</xdr:row>
          <xdr:rowOff>0</xdr:rowOff>
        </xdr:from>
        <xdr:to>
          <xdr:col>3</xdr:col>
          <xdr:colOff>7620</xdr:colOff>
          <xdr:row>12</xdr:row>
          <xdr:rowOff>38100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4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Very Athletic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15</xdr:col>
      <xdr:colOff>0</xdr:colOff>
      <xdr:row>53</xdr:row>
      <xdr:rowOff>161925</xdr:rowOff>
    </xdr:to>
    <xdr:graphicFrame macro="">
      <xdr:nvGraphicFramePr>
        <xdr:cNvPr id="12291" name="Chart 1">
          <a:extLst>
            <a:ext uri="{FF2B5EF4-FFF2-40B4-BE49-F238E27FC236}">
              <a16:creationId xmlns:a16="http://schemas.microsoft.com/office/drawing/2014/main" id="{00000000-0008-0000-0500-000003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3</xdr:col>
          <xdr:colOff>0</xdr:colOff>
          <xdr:row>4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7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20</xdr:row>
      <xdr:rowOff>0</xdr:rowOff>
    </xdr:from>
    <xdr:to>
      <xdr:col>4</xdr:col>
      <xdr:colOff>552450</xdr:colOff>
      <xdr:row>20</xdr:row>
      <xdr:rowOff>0</xdr:rowOff>
    </xdr:to>
    <xdr:sp macro="" textlink="">
      <xdr:nvSpPr>
        <xdr:cNvPr id="3081" name="Line 1">
          <a:extLst>
            <a:ext uri="{FF2B5EF4-FFF2-40B4-BE49-F238E27FC236}">
              <a16:creationId xmlns:a16="http://schemas.microsoft.com/office/drawing/2014/main" id="{00000000-0008-0000-0800-0000090C0000}"/>
            </a:ext>
          </a:extLst>
        </xdr:cNvPr>
        <xdr:cNvSpPr>
          <a:spLocks noChangeShapeType="1"/>
        </xdr:cNvSpPr>
      </xdr:nvSpPr>
      <xdr:spPr bwMode="auto">
        <a:xfrm>
          <a:off x="1257300" y="3876675"/>
          <a:ext cx="1962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15</xdr:row>
      <xdr:rowOff>38100</xdr:rowOff>
    </xdr:from>
    <xdr:to>
      <xdr:col>2</xdr:col>
      <xdr:colOff>9525</xdr:colOff>
      <xdr:row>20</xdr:row>
      <xdr:rowOff>0</xdr:rowOff>
    </xdr:to>
    <xdr:sp macro="" textlink="">
      <xdr:nvSpPr>
        <xdr:cNvPr id="3082" name="Line 2">
          <a:extLst>
            <a:ext uri="{FF2B5EF4-FFF2-40B4-BE49-F238E27FC236}">
              <a16:creationId xmlns:a16="http://schemas.microsoft.com/office/drawing/2014/main" id="{00000000-0008-0000-0800-00000A0C0000}"/>
            </a:ext>
          </a:extLst>
        </xdr:cNvPr>
        <xdr:cNvSpPr>
          <a:spLocks noChangeShapeType="1"/>
        </xdr:cNvSpPr>
      </xdr:nvSpPr>
      <xdr:spPr bwMode="auto">
        <a:xfrm flipV="1">
          <a:off x="1257300" y="2952750"/>
          <a:ext cx="0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15</xdr:row>
      <xdr:rowOff>38100</xdr:rowOff>
    </xdr:from>
    <xdr:to>
      <xdr:col>4</xdr:col>
      <xdr:colOff>561975</xdr:colOff>
      <xdr:row>20</xdr:row>
      <xdr:rowOff>0</xdr:rowOff>
    </xdr:to>
    <xdr:sp macro="" textlink="">
      <xdr:nvSpPr>
        <xdr:cNvPr id="3083" name="Line 3">
          <a:extLst>
            <a:ext uri="{FF2B5EF4-FFF2-40B4-BE49-F238E27FC236}">
              <a16:creationId xmlns:a16="http://schemas.microsoft.com/office/drawing/2014/main" id="{00000000-0008-0000-0800-00000B0C0000}"/>
            </a:ext>
          </a:extLst>
        </xdr:cNvPr>
        <xdr:cNvSpPr>
          <a:spLocks noChangeShapeType="1"/>
        </xdr:cNvSpPr>
      </xdr:nvSpPr>
      <xdr:spPr bwMode="auto">
        <a:xfrm>
          <a:off x="1257300" y="2952750"/>
          <a:ext cx="1971675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19</xdr:row>
      <xdr:rowOff>38100</xdr:rowOff>
    </xdr:from>
    <xdr:to>
      <xdr:col>2</xdr:col>
      <xdr:colOff>200025</xdr:colOff>
      <xdr:row>20</xdr:row>
      <xdr:rowOff>0</xdr:rowOff>
    </xdr:to>
    <xdr:sp macro="" textlink="">
      <xdr:nvSpPr>
        <xdr:cNvPr id="3084" name="Rectangle 4">
          <a:extLst>
            <a:ext uri="{FF2B5EF4-FFF2-40B4-BE49-F238E27FC236}">
              <a16:creationId xmlns:a16="http://schemas.microsoft.com/office/drawing/2014/main" id="{00000000-0008-0000-0800-00000C0C0000}"/>
            </a:ext>
          </a:extLst>
        </xdr:cNvPr>
        <xdr:cNvSpPr>
          <a:spLocks noChangeArrowheads="1"/>
        </xdr:cNvSpPr>
      </xdr:nvSpPr>
      <xdr:spPr bwMode="auto">
        <a:xfrm>
          <a:off x="1257300" y="3724275"/>
          <a:ext cx="19050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A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A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2</xdr:col>
          <xdr:colOff>0</xdr:colOff>
          <xdr:row>13</xdr:row>
          <xdr:rowOff>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A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2</xdr:col>
          <xdr:colOff>0</xdr:colOff>
          <xdr:row>9</xdr:row>
          <xdr:rowOff>0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A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2</xdr:col>
          <xdr:colOff>0</xdr:colOff>
          <xdr:row>5</xdr:row>
          <xdr:rowOff>0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A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 macro="" textlink="">
      <xdr:nvSpPr>
        <xdr:cNvPr id="5170" name="Line 1">
          <a:extLst>
            <a:ext uri="{FF2B5EF4-FFF2-40B4-BE49-F238E27FC236}">
              <a16:creationId xmlns:a16="http://schemas.microsoft.com/office/drawing/2014/main" id="{00000000-0008-0000-0D00-000032140000}"/>
            </a:ext>
          </a:extLst>
        </xdr:cNvPr>
        <xdr:cNvSpPr>
          <a:spLocks noChangeShapeType="1"/>
        </xdr:cNvSpPr>
      </xdr:nvSpPr>
      <xdr:spPr bwMode="auto">
        <a:xfrm>
          <a:off x="2476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171" name="Line 2">
          <a:extLst>
            <a:ext uri="{FF2B5EF4-FFF2-40B4-BE49-F238E27FC236}">
              <a16:creationId xmlns:a16="http://schemas.microsoft.com/office/drawing/2014/main" id="{00000000-0008-0000-0D00-000033140000}"/>
            </a:ext>
          </a:extLst>
        </xdr:cNvPr>
        <xdr:cNvSpPr>
          <a:spLocks noChangeShapeType="1"/>
        </xdr:cNvSpPr>
      </xdr:nvSpPr>
      <xdr:spPr bwMode="auto">
        <a:xfrm>
          <a:off x="1162050" y="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172" name="Oval 3">
          <a:extLst>
            <a:ext uri="{FF2B5EF4-FFF2-40B4-BE49-F238E27FC236}">
              <a16:creationId xmlns:a16="http://schemas.microsoft.com/office/drawing/2014/main" id="{00000000-0008-0000-0D00-000034140000}"/>
            </a:ext>
          </a:extLst>
        </xdr:cNvPr>
        <xdr:cNvSpPr>
          <a:spLocks noChangeArrowheads="1"/>
        </xdr:cNvSpPr>
      </xdr:nvSpPr>
      <xdr:spPr bwMode="auto">
        <a:xfrm>
          <a:off x="1162050" y="0"/>
          <a:ext cx="20002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41</xdr:row>
      <xdr:rowOff>66675</xdr:rowOff>
    </xdr:from>
    <xdr:to>
      <xdr:col>2</xdr:col>
      <xdr:colOff>733425</xdr:colOff>
      <xdr:row>50</xdr:row>
      <xdr:rowOff>85725</xdr:rowOff>
    </xdr:to>
    <xdr:grpSp>
      <xdr:nvGrpSpPr>
        <xdr:cNvPr id="5173" name="Group 20">
          <a:extLst>
            <a:ext uri="{FF2B5EF4-FFF2-40B4-BE49-F238E27FC236}">
              <a16:creationId xmlns:a16="http://schemas.microsoft.com/office/drawing/2014/main" id="{00000000-0008-0000-0D00-000035140000}"/>
            </a:ext>
          </a:extLst>
        </xdr:cNvPr>
        <xdr:cNvGrpSpPr>
          <a:grpSpLocks/>
        </xdr:cNvGrpSpPr>
      </xdr:nvGrpSpPr>
      <xdr:grpSpPr bwMode="auto">
        <a:xfrm>
          <a:off x="190500" y="8296275"/>
          <a:ext cx="1691005" cy="1756410"/>
          <a:chOff x="19" y="885"/>
          <a:chExt cx="179" cy="182"/>
        </a:xfrm>
      </xdr:grpSpPr>
      <xdr:grpSp>
        <xdr:nvGrpSpPr>
          <xdr:cNvPr id="5174" name="Group 21">
            <a:extLst>
              <a:ext uri="{FF2B5EF4-FFF2-40B4-BE49-F238E27FC236}">
                <a16:creationId xmlns:a16="http://schemas.microsoft.com/office/drawing/2014/main" id="{00000000-0008-0000-0D00-000036140000}"/>
              </a:ext>
            </a:extLst>
          </xdr:cNvPr>
          <xdr:cNvGrpSpPr>
            <a:grpSpLocks/>
          </xdr:cNvGrpSpPr>
        </xdr:nvGrpSpPr>
        <xdr:grpSpPr bwMode="auto">
          <a:xfrm>
            <a:off x="39" y="910"/>
            <a:ext cx="136" cy="133"/>
            <a:chOff x="219" y="204"/>
            <a:chExt cx="185" cy="180"/>
          </a:xfrm>
        </xdr:grpSpPr>
        <xdr:sp macro="" textlink="">
          <xdr:nvSpPr>
            <xdr:cNvPr id="5179" name="Line 22">
              <a:extLst>
                <a:ext uri="{FF2B5EF4-FFF2-40B4-BE49-F238E27FC236}">
                  <a16:creationId xmlns:a16="http://schemas.microsoft.com/office/drawing/2014/main" id="{00000000-0008-0000-0D00-00003B1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4" y="204"/>
              <a:ext cx="0" cy="18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180" name="Line 23">
              <a:extLst>
                <a:ext uri="{FF2B5EF4-FFF2-40B4-BE49-F238E27FC236}">
                  <a16:creationId xmlns:a16="http://schemas.microsoft.com/office/drawing/2014/main" id="{00000000-0008-0000-0D00-00003C1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19" y="295"/>
              <a:ext cx="18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181" name="Oval 24">
              <a:extLst>
                <a:ext uri="{FF2B5EF4-FFF2-40B4-BE49-F238E27FC236}">
                  <a16:creationId xmlns:a16="http://schemas.microsoft.com/office/drawing/2014/main" id="{00000000-0008-0000-0D00-00003D1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9" y="204"/>
              <a:ext cx="185" cy="18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5145" name="Text Box 25">
            <a:extLst>
              <a:ext uri="{FF2B5EF4-FFF2-40B4-BE49-F238E27FC236}">
                <a16:creationId xmlns:a16="http://schemas.microsoft.com/office/drawing/2014/main" id="{00000000-0008-0000-0D00-0000191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+</a:t>
            </a:r>
          </a:p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Y</a:t>
            </a:r>
          </a:p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-</a:t>
            </a:r>
          </a:p>
        </xdr:txBody>
      </xdr:sp>
      <xdr:sp macro="" textlink="">
        <xdr:nvSpPr>
          <xdr:cNvPr id="5146" name="Text Box 26">
            <a:extLst>
              <a:ext uri="{FF2B5EF4-FFF2-40B4-BE49-F238E27FC236}">
                <a16:creationId xmlns:a16="http://schemas.microsoft.com/office/drawing/2014/main" id="{00000000-0008-0000-0D00-00001A1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+</a:t>
            </a:r>
          </a:p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Y</a:t>
            </a:r>
          </a:p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-</a:t>
            </a:r>
          </a:p>
        </xdr:txBody>
      </xdr:sp>
      <xdr:sp macro="" textlink="">
        <xdr:nvSpPr>
          <xdr:cNvPr id="5147" name="Text Box 27">
            <a:extLst>
              <a:ext uri="{FF2B5EF4-FFF2-40B4-BE49-F238E27FC236}">
                <a16:creationId xmlns:a16="http://schemas.microsoft.com/office/drawing/2014/main" id="{00000000-0008-0000-0D00-00001B1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- X +</a:t>
            </a:r>
          </a:p>
        </xdr:txBody>
      </xdr:sp>
      <xdr:sp macro="" textlink="">
        <xdr:nvSpPr>
          <xdr:cNvPr id="5148" name="Text Box 28">
            <a:extLst>
              <a:ext uri="{FF2B5EF4-FFF2-40B4-BE49-F238E27FC236}">
                <a16:creationId xmlns:a16="http://schemas.microsoft.com/office/drawing/2014/main" id="{00000000-0008-0000-0D00-00001C1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 macro="" textlink="">
      <xdr:nvSpPr>
        <xdr:cNvPr id="10287" name="Line 1">
          <a:extLst>
            <a:ext uri="{FF2B5EF4-FFF2-40B4-BE49-F238E27FC236}">
              <a16:creationId xmlns:a16="http://schemas.microsoft.com/office/drawing/2014/main" id="{00000000-0008-0000-0E00-00002F280000}"/>
            </a:ext>
          </a:extLst>
        </xdr:cNvPr>
        <xdr:cNvSpPr>
          <a:spLocks noChangeShapeType="1"/>
        </xdr:cNvSpPr>
      </xdr:nvSpPr>
      <xdr:spPr bwMode="auto">
        <a:xfrm>
          <a:off x="2476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288" name="Line 2">
          <a:extLst>
            <a:ext uri="{FF2B5EF4-FFF2-40B4-BE49-F238E27FC236}">
              <a16:creationId xmlns:a16="http://schemas.microsoft.com/office/drawing/2014/main" id="{00000000-0008-0000-0E00-000030280000}"/>
            </a:ext>
          </a:extLst>
        </xdr:cNvPr>
        <xdr:cNvSpPr>
          <a:spLocks noChangeShapeType="1"/>
        </xdr:cNvSpPr>
      </xdr:nvSpPr>
      <xdr:spPr bwMode="auto">
        <a:xfrm>
          <a:off x="1162050" y="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289" name="Oval 3">
          <a:extLst>
            <a:ext uri="{FF2B5EF4-FFF2-40B4-BE49-F238E27FC236}">
              <a16:creationId xmlns:a16="http://schemas.microsoft.com/office/drawing/2014/main" id="{00000000-0008-0000-0E00-000031280000}"/>
            </a:ext>
          </a:extLst>
        </xdr:cNvPr>
        <xdr:cNvSpPr>
          <a:spLocks noChangeArrowheads="1"/>
        </xdr:cNvSpPr>
      </xdr:nvSpPr>
      <xdr:spPr bwMode="auto">
        <a:xfrm>
          <a:off x="1162050" y="0"/>
          <a:ext cx="20002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42</xdr:row>
      <xdr:rowOff>66675</xdr:rowOff>
    </xdr:from>
    <xdr:to>
      <xdr:col>2</xdr:col>
      <xdr:colOff>723900</xdr:colOff>
      <xdr:row>51</xdr:row>
      <xdr:rowOff>85725</xdr:rowOff>
    </xdr:to>
    <xdr:grpSp>
      <xdr:nvGrpSpPr>
        <xdr:cNvPr id="10290" name="Group 34">
          <a:extLst>
            <a:ext uri="{FF2B5EF4-FFF2-40B4-BE49-F238E27FC236}">
              <a16:creationId xmlns:a16="http://schemas.microsoft.com/office/drawing/2014/main" id="{00000000-0008-0000-0E00-000032280000}"/>
            </a:ext>
          </a:extLst>
        </xdr:cNvPr>
        <xdr:cNvGrpSpPr>
          <a:grpSpLocks/>
        </xdr:cNvGrpSpPr>
      </xdr:nvGrpSpPr>
      <xdr:grpSpPr bwMode="auto">
        <a:xfrm>
          <a:off x="180975" y="8529955"/>
          <a:ext cx="1691005" cy="1756410"/>
          <a:chOff x="19" y="885"/>
          <a:chExt cx="179" cy="182"/>
        </a:xfrm>
      </xdr:grpSpPr>
      <xdr:grpSp>
        <xdr:nvGrpSpPr>
          <xdr:cNvPr id="10291" name="Group 18">
            <a:extLst>
              <a:ext uri="{FF2B5EF4-FFF2-40B4-BE49-F238E27FC236}">
                <a16:creationId xmlns:a16="http://schemas.microsoft.com/office/drawing/2014/main" id="{00000000-0008-0000-0E00-000033280000}"/>
              </a:ext>
            </a:extLst>
          </xdr:cNvPr>
          <xdr:cNvGrpSpPr>
            <a:grpSpLocks/>
          </xdr:cNvGrpSpPr>
        </xdr:nvGrpSpPr>
        <xdr:grpSpPr bwMode="auto">
          <a:xfrm>
            <a:off x="39" y="910"/>
            <a:ext cx="136" cy="133"/>
            <a:chOff x="219" y="204"/>
            <a:chExt cx="185" cy="180"/>
          </a:xfrm>
        </xdr:grpSpPr>
        <xdr:sp macro="" textlink="">
          <xdr:nvSpPr>
            <xdr:cNvPr id="10296" name="Line 19">
              <a:extLst>
                <a:ext uri="{FF2B5EF4-FFF2-40B4-BE49-F238E27FC236}">
                  <a16:creationId xmlns:a16="http://schemas.microsoft.com/office/drawing/2014/main" id="{00000000-0008-0000-0E00-0000382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4" y="204"/>
              <a:ext cx="0" cy="18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297" name="Line 20">
              <a:extLst>
                <a:ext uri="{FF2B5EF4-FFF2-40B4-BE49-F238E27FC236}">
                  <a16:creationId xmlns:a16="http://schemas.microsoft.com/office/drawing/2014/main" id="{00000000-0008-0000-0E00-0000392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19" y="295"/>
              <a:ext cx="18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298" name="Oval 21">
              <a:extLst>
                <a:ext uri="{FF2B5EF4-FFF2-40B4-BE49-F238E27FC236}">
                  <a16:creationId xmlns:a16="http://schemas.microsoft.com/office/drawing/2014/main" id="{00000000-0008-0000-0E00-00003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9" y="204"/>
              <a:ext cx="185" cy="18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0266" name="Text Box 26">
            <a:extLst>
              <a:ext uri="{FF2B5EF4-FFF2-40B4-BE49-F238E27FC236}">
                <a16:creationId xmlns:a16="http://schemas.microsoft.com/office/drawing/2014/main" id="{00000000-0008-0000-0E00-00001A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+</a:t>
            </a:r>
          </a:p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Y</a:t>
            </a:r>
          </a:p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-</a:t>
            </a:r>
          </a:p>
        </xdr:txBody>
      </xdr:sp>
      <xdr:sp macro="" textlink="">
        <xdr:nvSpPr>
          <xdr:cNvPr id="10267" name="Text Box 27">
            <a:extLst>
              <a:ext uri="{FF2B5EF4-FFF2-40B4-BE49-F238E27FC236}">
                <a16:creationId xmlns:a16="http://schemas.microsoft.com/office/drawing/2014/main" id="{00000000-0008-0000-0E00-00001B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+</a:t>
            </a:r>
          </a:p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Y</a:t>
            </a:r>
          </a:p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-</a:t>
            </a:r>
          </a:p>
        </xdr:txBody>
      </xdr:sp>
      <xdr:sp macro="" textlink="">
        <xdr:nvSpPr>
          <xdr:cNvPr id="10268" name="Text Box 28">
            <a:extLst>
              <a:ext uri="{FF2B5EF4-FFF2-40B4-BE49-F238E27FC236}">
                <a16:creationId xmlns:a16="http://schemas.microsoft.com/office/drawing/2014/main" id="{00000000-0008-0000-0E00-00001C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- X +</a:t>
            </a:r>
          </a:p>
        </xdr:txBody>
      </xdr:sp>
      <xdr:sp macro="" textlink="">
        <xdr:nvSpPr>
          <xdr:cNvPr id="10269" name="Text Box 29">
            <a:extLst>
              <a:ext uri="{FF2B5EF4-FFF2-40B4-BE49-F238E27FC236}">
                <a16:creationId xmlns:a16="http://schemas.microsoft.com/office/drawing/2014/main" id="{00000000-0008-0000-0E00-00001D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hyperlink" Target="http://livelink.aramco.com.sa/livelink/livelink.exe?func=ll&amp;objId=12074124&amp;objAction=browse&amp;sort=name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7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45.xml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0.xml"/><Relationship Id="rId5" Type="http://schemas.openxmlformats.org/officeDocument/2006/relationships/ctrlProp" Target="../ctrlProps/ctrlProp39.xml"/><Relationship Id="rId4" Type="http://schemas.openxmlformats.org/officeDocument/2006/relationships/ctrlProp" Target="../ctrlProps/ctrlProp3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4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tabColor indexed="16"/>
  </sheetPr>
  <dimension ref="A1:EA23"/>
  <sheetViews>
    <sheetView showGridLines="0" showRowColHeaders="0" tabSelected="1" zoomScale="110" workbookViewId="0">
      <selection activeCell="E7" sqref="E7"/>
    </sheetView>
  </sheetViews>
  <sheetFormatPr defaultColWidth="7.08984375" defaultRowHeight="15" customHeight="1"/>
  <cols>
    <col min="1" max="1" width="2.08984375" style="468" customWidth="1"/>
    <col min="2" max="2" width="7.08984375" style="450" customWidth="1"/>
    <col min="3" max="3" width="7.36328125" style="450" customWidth="1"/>
    <col min="4" max="4" width="0" style="450" hidden="1" customWidth="1"/>
    <col min="5" max="5" width="7.08984375" style="450" customWidth="1"/>
    <col min="6" max="6" width="1.90625" style="450" customWidth="1"/>
    <col min="7" max="7" width="7.08984375" style="450" customWidth="1"/>
    <col min="8" max="8" width="7.36328125" style="450" customWidth="1"/>
    <col min="9" max="9" width="0" style="450" hidden="1" customWidth="1"/>
    <col min="10" max="10" width="7.08984375" style="450" customWidth="1"/>
    <col min="11" max="11" width="1.81640625" style="450" customWidth="1"/>
    <col min="12" max="12" width="7.08984375" style="450" customWidth="1"/>
    <col min="13" max="13" width="7.36328125" style="450" customWidth="1"/>
    <col min="14" max="14" width="0" style="450" hidden="1" customWidth="1"/>
    <col min="15" max="15" width="7.08984375" style="450" customWidth="1"/>
    <col min="16" max="16" width="2" style="450" customWidth="1"/>
    <col min="17" max="17" width="7.08984375" style="450" customWidth="1"/>
    <col min="18" max="18" width="7.453125" style="450" customWidth="1"/>
    <col min="19" max="19" width="0" style="450" hidden="1" customWidth="1"/>
    <col min="20" max="20" width="7.08984375" style="450" customWidth="1"/>
    <col min="21" max="21" width="2.08984375" style="451" customWidth="1"/>
    <col min="22" max="23" width="7.08984375" style="451" customWidth="1"/>
    <col min="24" max="24" width="2.453125" style="451" customWidth="1"/>
    <col min="25" max="25" width="3.08984375" style="463" customWidth="1"/>
    <col min="26" max="26" width="7.36328125" style="451" customWidth="1"/>
    <col min="27" max="27" width="7.08984375" style="451" customWidth="1"/>
    <col min="28" max="28" width="7.08984375" style="464" customWidth="1"/>
    <col min="29" max="29" width="8.1796875" style="464" customWidth="1"/>
    <col min="30" max="30" width="7.08984375" style="451" customWidth="1"/>
    <col min="31" max="31" width="3.08984375" style="463" customWidth="1"/>
    <col min="32" max="32" width="7.36328125" style="451" customWidth="1"/>
    <col min="33" max="33" width="7.08984375" style="451" customWidth="1"/>
    <col min="34" max="34" width="7.08984375" style="464" customWidth="1"/>
    <col min="35" max="35" width="8.1796875" style="464" customWidth="1"/>
    <col min="36" max="36" width="7.08984375" style="451" customWidth="1"/>
    <col min="37" max="37" width="3.08984375" style="463" customWidth="1"/>
    <col min="38" max="38" width="7.36328125" style="451" customWidth="1"/>
    <col min="39" max="39" width="7.08984375" style="451" customWidth="1"/>
    <col min="40" max="40" width="7.08984375" style="464" customWidth="1"/>
    <col min="41" max="41" width="8.1796875" style="464" customWidth="1"/>
    <col min="42" max="42" width="7.08984375" style="451" customWidth="1"/>
    <col min="43" max="43" width="3.08984375" style="463" customWidth="1"/>
    <col min="44" max="44" width="7.36328125" style="451" customWidth="1"/>
    <col min="45" max="45" width="7.08984375" style="451" customWidth="1"/>
    <col min="46" max="46" width="7.08984375" style="464" customWidth="1"/>
    <col min="47" max="47" width="8.1796875" style="464" customWidth="1"/>
    <col min="48" max="48" width="7.08984375" style="451" customWidth="1"/>
    <col min="49" max="49" width="3.08984375" style="463" customWidth="1"/>
    <col min="50" max="50" width="7.36328125" style="451" customWidth="1"/>
    <col min="51" max="51" width="7.08984375" style="451" customWidth="1"/>
    <col min="52" max="52" width="7.08984375" style="464" customWidth="1"/>
    <col min="53" max="53" width="8.1796875" style="464" customWidth="1"/>
    <col min="54" max="54" width="7.08984375" style="451" customWidth="1"/>
    <col min="55" max="55" width="3.08984375" style="463" customWidth="1"/>
    <col min="56" max="56" width="7.36328125" style="451" customWidth="1"/>
    <col min="57" max="57" width="7.08984375" style="451" customWidth="1"/>
    <col min="58" max="58" width="7.08984375" style="464" customWidth="1"/>
    <col min="59" max="59" width="8.1796875" style="464" customWidth="1"/>
    <col min="60" max="60" width="7.08984375" style="451" customWidth="1"/>
    <col min="61" max="61" width="3.08984375" style="463" customWidth="1"/>
    <col min="62" max="62" width="7.36328125" style="451" customWidth="1"/>
    <col min="63" max="63" width="7.08984375" style="451" customWidth="1"/>
    <col min="64" max="64" width="7.08984375" style="464" customWidth="1"/>
    <col min="65" max="65" width="8.1796875" style="464" customWidth="1"/>
    <col min="66" max="66" width="7.08984375" style="451" customWidth="1"/>
    <col min="67" max="67" width="3.08984375" style="463" customWidth="1"/>
    <col min="68" max="68" width="7.36328125" style="451" customWidth="1"/>
    <col min="69" max="69" width="7.08984375" style="451" customWidth="1"/>
    <col min="70" max="70" width="7.08984375" style="464" customWidth="1"/>
    <col min="71" max="71" width="8.1796875" style="464" customWidth="1"/>
    <col min="72" max="72" width="7.08984375" style="451" customWidth="1"/>
    <col min="73" max="73" width="3.08984375" style="463" customWidth="1"/>
    <col min="74" max="74" width="7.36328125" style="451" customWidth="1"/>
    <col min="75" max="75" width="7.08984375" style="451" customWidth="1"/>
    <col min="76" max="76" width="7.08984375" style="464" customWidth="1"/>
    <col min="77" max="77" width="8.1796875" style="464" customWidth="1"/>
    <col min="78" max="78" width="7.08984375" style="451" customWidth="1"/>
    <col min="79" max="79" width="3.08984375" style="463" customWidth="1"/>
    <col min="80" max="80" width="7.36328125" style="451" customWidth="1"/>
    <col min="81" max="81" width="7.08984375" style="451" customWidth="1"/>
    <col min="82" max="82" width="7.08984375" style="464" customWidth="1"/>
    <col min="83" max="83" width="8.1796875" style="464" customWidth="1"/>
    <col min="84" max="84" width="7.08984375" style="451" customWidth="1"/>
    <col min="85" max="85" width="3.08984375" style="463" customWidth="1"/>
    <col min="86" max="86" width="7.36328125" style="451" customWidth="1"/>
    <col min="87" max="87" width="7.08984375" style="451" customWidth="1"/>
    <col min="88" max="88" width="7.08984375" style="464" customWidth="1"/>
    <col min="89" max="89" width="8.1796875" style="464" customWidth="1"/>
    <col min="90" max="90" width="7.08984375" style="451" customWidth="1"/>
    <col min="91" max="91" width="3.08984375" style="463" customWidth="1"/>
    <col min="92" max="92" width="7.36328125" style="451" customWidth="1"/>
    <col min="93" max="93" width="7.08984375" style="451" customWidth="1"/>
    <col min="94" max="94" width="7.08984375" style="464" customWidth="1"/>
    <col min="95" max="95" width="8.1796875" style="464" customWidth="1"/>
    <col min="96" max="96" width="7.08984375" style="451" customWidth="1"/>
    <col min="97" max="97" width="3.08984375" style="463" customWidth="1"/>
    <col min="98" max="98" width="7.36328125" style="451" customWidth="1"/>
    <col min="99" max="99" width="7.08984375" style="451" customWidth="1"/>
    <col min="100" max="100" width="7.08984375" style="464" customWidth="1"/>
    <col min="101" max="101" width="8.1796875" style="464" customWidth="1"/>
    <col min="102" max="102" width="7.08984375" style="451" customWidth="1"/>
    <col min="103" max="103" width="3.08984375" style="463" customWidth="1"/>
    <col min="104" max="104" width="9.6328125" style="451" customWidth="1"/>
    <col min="105" max="105" width="7.08984375" style="451" customWidth="1"/>
    <col min="106" max="106" width="7.08984375" style="464" customWidth="1"/>
    <col min="107" max="107" width="8.1796875" style="464" customWidth="1"/>
    <col min="108" max="108" width="7.08984375" style="451" customWidth="1"/>
    <col min="109" max="109" width="3.08984375" style="463" customWidth="1"/>
    <col min="110" max="110" width="9.6328125" style="451" customWidth="1"/>
    <col min="111" max="111" width="7.08984375" style="451" customWidth="1"/>
    <col min="112" max="112" width="7.08984375" style="464" customWidth="1"/>
    <col min="113" max="113" width="8.1796875" style="464" customWidth="1"/>
    <col min="114" max="114" width="7.08984375" style="451" customWidth="1"/>
    <col min="115" max="115" width="3.08984375" style="463" customWidth="1"/>
    <col min="116" max="116" width="9.6328125" style="451" customWidth="1"/>
    <col min="117" max="117" width="7.08984375" style="451" customWidth="1"/>
    <col min="118" max="118" width="7.08984375" style="464" customWidth="1"/>
    <col min="119" max="119" width="8.1796875" style="464" customWidth="1"/>
    <col min="120" max="120" width="7.08984375" style="451" customWidth="1"/>
    <col min="121" max="121" width="3.08984375" style="463" customWidth="1"/>
    <col min="122" max="122" width="9.6328125" style="451" customWidth="1"/>
    <col min="123" max="123" width="7.08984375" style="451" customWidth="1"/>
    <col min="124" max="124" width="7.08984375" style="464" customWidth="1"/>
    <col min="125" max="125" width="8.1796875" style="464" customWidth="1"/>
    <col min="126" max="126" width="7.08984375" style="451" customWidth="1"/>
    <col min="127" max="127" width="3.08984375" style="463" customWidth="1"/>
    <col min="128" max="128" width="9.6328125" style="451" customWidth="1"/>
    <col min="129" max="129" width="7.08984375" style="451" customWidth="1"/>
    <col min="130" max="130" width="7.08984375" style="464" customWidth="1"/>
    <col min="131" max="131" width="8.1796875" style="464" customWidth="1"/>
    <col min="132" max="16384" width="7.08984375" style="451"/>
  </cols>
  <sheetData>
    <row r="1" spans="1:131" ht="15" customHeight="1">
      <c r="A1" s="450"/>
      <c r="V1" s="452"/>
      <c r="Y1" s="451"/>
      <c r="AB1" s="451"/>
      <c r="AC1" s="451"/>
      <c r="AE1" s="451"/>
      <c r="AH1" s="451"/>
      <c r="AI1" s="451"/>
      <c r="AK1" s="451"/>
      <c r="AN1" s="451"/>
      <c r="AO1" s="451"/>
      <c r="AQ1" s="451"/>
      <c r="AT1" s="451"/>
      <c r="AU1" s="451"/>
      <c r="AW1" s="451"/>
      <c r="AZ1" s="451"/>
      <c r="BA1" s="451"/>
      <c r="BC1" s="451"/>
      <c r="BF1" s="451"/>
      <c r="BG1" s="451"/>
      <c r="BI1" s="451"/>
      <c r="BL1" s="451"/>
      <c r="BM1" s="451"/>
      <c r="BO1" s="451"/>
      <c r="BR1" s="451"/>
      <c r="BS1" s="451"/>
      <c r="BU1" s="451"/>
      <c r="BX1" s="451"/>
      <c r="BY1" s="451"/>
      <c r="CA1" s="451"/>
      <c r="CD1" s="451"/>
      <c r="CE1" s="451"/>
      <c r="CG1" s="451"/>
      <c r="CJ1" s="451"/>
      <c r="CK1" s="451"/>
      <c r="CM1" s="451"/>
      <c r="CP1" s="451"/>
      <c r="CQ1" s="451"/>
      <c r="CS1" s="451"/>
      <c r="CV1" s="451"/>
      <c r="CW1" s="451"/>
      <c r="CY1" s="451"/>
      <c r="DB1" s="451"/>
      <c r="DC1" s="451"/>
      <c r="DE1" s="451"/>
      <c r="DH1" s="451"/>
      <c r="DI1" s="451"/>
      <c r="DK1" s="451"/>
      <c r="DN1" s="451"/>
      <c r="DO1" s="451"/>
      <c r="DQ1" s="451"/>
      <c r="DT1" s="451"/>
      <c r="DU1" s="451"/>
      <c r="DW1" s="451"/>
      <c r="DZ1" s="451"/>
      <c r="EA1" s="451"/>
    </row>
    <row r="2" spans="1:131" ht="15" customHeight="1" thickBot="1">
      <c r="A2" s="453"/>
      <c r="B2" s="454" t="s">
        <v>1016</v>
      </c>
      <c r="C2" s="455"/>
      <c r="D2" s="455"/>
      <c r="E2" s="456"/>
      <c r="F2" s="457"/>
      <c r="G2" s="454" t="s">
        <v>700</v>
      </c>
      <c r="H2" s="455"/>
      <c r="I2" s="455"/>
      <c r="J2" s="456"/>
      <c r="K2" s="457"/>
      <c r="L2" s="454" t="s">
        <v>701</v>
      </c>
      <c r="M2" s="455"/>
      <c r="N2" s="455"/>
      <c r="O2" s="456"/>
      <c r="P2" s="457"/>
      <c r="Q2" s="454" t="s">
        <v>702</v>
      </c>
      <c r="R2" s="455"/>
      <c r="S2" s="455"/>
      <c r="T2" s="456"/>
      <c r="U2" s="452"/>
      <c r="V2" s="452"/>
      <c r="Y2" s="451"/>
      <c r="AB2" s="451"/>
      <c r="AC2" s="451"/>
      <c r="AE2" s="451"/>
      <c r="AH2" s="451"/>
      <c r="AI2" s="451"/>
      <c r="AK2" s="451"/>
      <c r="AN2" s="451"/>
      <c r="AO2" s="451"/>
      <c r="AQ2" s="451"/>
      <c r="AT2" s="451"/>
      <c r="AU2" s="451"/>
      <c r="AW2" s="451"/>
      <c r="AZ2" s="451"/>
      <c r="BA2" s="451"/>
      <c r="BC2" s="451"/>
      <c r="BF2" s="451"/>
      <c r="BG2" s="451"/>
      <c r="BI2" s="451"/>
      <c r="BL2" s="451"/>
      <c r="BM2" s="451"/>
      <c r="BO2" s="451"/>
      <c r="BR2" s="451"/>
      <c r="BS2" s="451"/>
      <c r="BU2" s="451"/>
      <c r="BX2" s="451"/>
      <c r="BY2" s="451"/>
      <c r="CA2" s="451"/>
      <c r="CD2" s="451"/>
      <c r="CE2" s="451"/>
      <c r="CF2" s="458"/>
      <c r="CG2" s="451"/>
      <c r="CJ2" s="451"/>
      <c r="CK2" s="451"/>
      <c r="CM2" s="451"/>
      <c r="CP2" s="451"/>
      <c r="CQ2" s="451"/>
      <c r="CS2" s="451"/>
      <c r="CV2" s="451"/>
      <c r="CW2" s="451"/>
      <c r="CX2" s="458"/>
      <c r="CY2" s="458"/>
      <c r="CZ2" s="458"/>
      <c r="DA2" s="458"/>
      <c r="DB2" s="458"/>
      <c r="DC2" s="451"/>
      <c r="DE2" s="451"/>
      <c r="DH2" s="451"/>
      <c r="DI2" s="451"/>
      <c r="DK2" s="451"/>
      <c r="DN2" s="451"/>
      <c r="DO2" s="451"/>
      <c r="DQ2" s="451"/>
      <c r="DT2" s="451"/>
      <c r="DU2" s="451"/>
      <c r="DW2" s="451"/>
      <c r="DZ2" s="451"/>
      <c r="EA2" s="451"/>
    </row>
    <row r="3" spans="1:131" ht="15" customHeight="1" thickBot="1">
      <c r="A3" s="459"/>
      <c r="B3" s="460"/>
      <c r="C3" s="460"/>
      <c r="D3" s="461">
        <v>3</v>
      </c>
      <c r="E3" s="462">
        <v>5.7</v>
      </c>
      <c r="F3" s="460"/>
      <c r="G3" s="460"/>
      <c r="H3" s="460"/>
      <c r="I3" s="461">
        <v>1</v>
      </c>
      <c r="J3" s="462">
        <v>1800</v>
      </c>
      <c r="K3" s="460"/>
      <c r="L3" s="460"/>
      <c r="M3" s="460"/>
      <c r="N3" s="461">
        <v>1</v>
      </c>
      <c r="O3" s="462">
        <v>1</v>
      </c>
      <c r="P3" s="460"/>
      <c r="Q3" s="460"/>
      <c r="R3" s="460"/>
      <c r="S3" s="461">
        <v>1</v>
      </c>
      <c r="T3" s="462">
        <v>1</v>
      </c>
      <c r="U3" s="452"/>
      <c r="V3" s="452"/>
      <c r="AB3" s="464">
        <f>VLOOKUP(D3,Y4:AA12,3,FALSE)</f>
        <v>1</v>
      </c>
      <c r="AC3" s="464">
        <f>+E3/AB3</f>
        <v>5.7</v>
      </c>
      <c r="AH3" s="464">
        <f>VLOOKUP(D7,AE4:AG14,3,FALSE)</f>
        <v>0.1781076</v>
      </c>
      <c r="AI3" s="464">
        <f>+E7/AH3</f>
        <v>5.6145835438802161</v>
      </c>
      <c r="AN3" s="464">
        <f>VLOOKUP(D11,AK4:AM11,3,FALSE)</f>
        <v>1</v>
      </c>
      <c r="AO3" s="464">
        <f>+E11/AN3</f>
        <v>1</v>
      </c>
      <c r="AT3" s="464">
        <f>VLOOKUP(D15,AQ4:AS17,3,FALSE)</f>
        <v>101.94070000000001</v>
      </c>
      <c r="AU3" s="464">
        <f>+E15/AT3</f>
        <v>4.8067160613964779</v>
      </c>
      <c r="AZ3" s="464">
        <f>VLOOKUP(D19,AW4:AY15,3,FALSE)</f>
        <v>1</v>
      </c>
      <c r="BA3" s="464">
        <f>+E19/AZ3</f>
        <v>14.7</v>
      </c>
      <c r="BF3" s="464">
        <f>VLOOKUP(I3,BC4:BE15,3,FALSE)</f>
        <v>1</v>
      </c>
      <c r="BG3" s="464">
        <f>+J3/BF3</f>
        <v>1800</v>
      </c>
      <c r="BL3" s="464">
        <f>VLOOKUP(I7,BI4:BK13,3,FALSE)</f>
        <v>1</v>
      </c>
      <c r="BM3" s="464">
        <f>+J7/BL3</f>
        <v>13650</v>
      </c>
      <c r="BR3" s="464">
        <f>VLOOKUP(I11,BO4:BQ14,3,FALSE)</f>
        <v>1</v>
      </c>
      <c r="BS3" s="464">
        <f>+J11/BR3</f>
        <v>45</v>
      </c>
      <c r="BX3" s="464">
        <f>VLOOKUP(I19,BU4:BW14,3,FALSE)</f>
        <v>9.2903040000000006E-2</v>
      </c>
      <c r="BY3" s="464">
        <f>+J19/BX3</f>
        <v>64583.462500258327</v>
      </c>
      <c r="CD3" s="464">
        <f>VLOOKUP(I15,CA4:CC15,3,FALSE)</f>
        <v>1</v>
      </c>
      <c r="CE3" s="464">
        <f>+J15/CD3</f>
        <v>62.4</v>
      </c>
      <c r="CF3" s="458"/>
      <c r="CJ3" s="464">
        <f>VLOOKUP(N3,CG4:CI12,3,FALSE)</f>
        <v>1</v>
      </c>
      <c r="CK3" s="464">
        <f>+O3/CJ3</f>
        <v>1</v>
      </c>
      <c r="CP3" s="464">
        <f>VLOOKUP(N7,CM4:CO10,3,FALSE)</f>
        <v>100</v>
      </c>
      <c r="CQ3" s="464">
        <f>+O7/CP3</f>
        <v>0.01</v>
      </c>
      <c r="CV3" s="464">
        <f>VLOOKUP(N11,CS4:CU14,3,FALSE)</f>
        <v>1</v>
      </c>
      <c r="CW3" s="464">
        <f>+O11/CV3</f>
        <v>1</v>
      </c>
      <c r="DB3" s="464">
        <f>VLOOKUP(N15,CY4:DA8,3,FALSE)</f>
        <v>1</v>
      </c>
      <c r="DC3" s="464">
        <f>+O15/DB3</f>
        <v>1</v>
      </c>
      <c r="DH3" s="464">
        <f>VLOOKUP(N19,DE4:DG8,3,FALSE)</f>
        <v>1</v>
      </c>
      <c r="DI3" s="464">
        <f>+O19/DH3</f>
        <v>1</v>
      </c>
      <c r="DN3" s="464">
        <f>VLOOKUP(S3,DK4:DM8,3,FALSE)</f>
        <v>1</v>
      </c>
      <c r="DO3" s="464">
        <f>+T3/DN3</f>
        <v>1</v>
      </c>
      <c r="DT3" s="464">
        <f>VLOOKUP(S7,DQ4:DS8,3,FALSE)</f>
        <v>1</v>
      </c>
      <c r="DU3" s="464">
        <f>+T7/DT3</f>
        <v>1</v>
      </c>
      <c r="DZ3" s="464">
        <f>VLOOKUP(S11,DW4:DY8,3,FALSE)</f>
        <v>1</v>
      </c>
      <c r="EA3" s="464">
        <f>+T11/DZ3</f>
        <v>1</v>
      </c>
    </row>
    <row r="4" spans="1:131" ht="15" customHeight="1">
      <c r="A4" s="459"/>
      <c r="B4" s="460"/>
      <c r="C4" s="460"/>
      <c r="D4" s="461">
        <v>4</v>
      </c>
      <c r="E4" s="465">
        <f>VLOOKUP(D4,Y4:AB12,4,FALSE)</f>
        <v>68.400000000000006</v>
      </c>
      <c r="F4" s="460"/>
      <c r="G4" s="460"/>
      <c r="H4" s="460"/>
      <c r="I4" s="461">
        <v>3</v>
      </c>
      <c r="J4" s="465">
        <f>VLOOKUP(I4,BC4:BF15,4,FALSE)</f>
        <v>381.67073999999997</v>
      </c>
      <c r="K4" s="460"/>
      <c r="L4" s="460"/>
      <c r="M4" s="460"/>
      <c r="N4" s="461">
        <v>5</v>
      </c>
      <c r="O4" s="465">
        <f>VLOOKUP(N4,CG4:CJ12,4,FALSE)</f>
        <v>6.7196900000000002E-4</v>
      </c>
      <c r="P4" s="460"/>
      <c r="Q4" s="460"/>
      <c r="R4" s="460"/>
      <c r="S4" s="461">
        <v>5</v>
      </c>
      <c r="T4" s="465">
        <f>VLOOKUP(S4,DK4:DN8,4,FALSE)</f>
        <v>3.1545909999999999</v>
      </c>
      <c r="U4" s="452"/>
      <c r="V4" s="452"/>
      <c r="Y4" s="466">
        <v>1</v>
      </c>
      <c r="Z4" s="464" t="s">
        <v>703</v>
      </c>
      <c r="AA4" s="467">
        <v>1.893939E-4</v>
      </c>
      <c r="AB4" s="464">
        <f t="shared" ref="AB4:AB12" si="0">+AA4*$AC$3</f>
        <v>1.0795452300000001E-3</v>
      </c>
      <c r="AE4" s="466">
        <v>1</v>
      </c>
      <c r="AF4" s="464" t="s">
        <v>834</v>
      </c>
      <c r="AG4" s="467">
        <v>3.703704E-2</v>
      </c>
      <c r="AH4" s="464">
        <f t="shared" ref="AH4:AH14" si="1">+AG4*$AI$3</f>
        <v>0.20794755529803333</v>
      </c>
      <c r="AK4" s="466">
        <v>1</v>
      </c>
      <c r="AL4" s="464" t="s">
        <v>704</v>
      </c>
      <c r="AM4" s="467">
        <v>3.7866750000000002E-4</v>
      </c>
      <c r="AN4" s="464">
        <f t="shared" ref="AN4:AN11" si="2">+AM4*$AO$3</f>
        <v>3.7866750000000002E-4</v>
      </c>
      <c r="AQ4" s="466">
        <v>1</v>
      </c>
      <c r="AR4" s="464" t="s">
        <v>835</v>
      </c>
      <c r="AS4" s="467">
        <v>1</v>
      </c>
      <c r="AT4" s="464">
        <f t="shared" ref="AT4:AT17" si="3">+AS4*$AU$3</f>
        <v>4.8067160613964779</v>
      </c>
      <c r="AW4" s="466">
        <v>1</v>
      </c>
      <c r="AX4" s="464" t="s">
        <v>705</v>
      </c>
      <c r="AY4" s="467">
        <v>1</v>
      </c>
      <c r="AZ4" s="464">
        <f t="shared" ref="AZ4:AZ15" si="4">+AY4*$BA$3</f>
        <v>14.7</v>
      </c>
      <c r="BC4" s="466">
        <v>1</v>
      </c>
      <c r="BD4" s="464" t="s">
        <v>706</v>
      </c>
      <c r="BE4" s="467">
        <v>1</v>
      </c>
      <c r="BF4" s="464">
        <f t="shared" ref="BF4:BF15" si="5">+BE4*$BG$3</f>
        <v>1800</v>
      </c>
      <c r="BI4" s="466">
        <v>1</v>
      </c>
      <c r="BJ4" s="464" t="s">
        <v>707</v>
      </c>
      <c r="BK4" s="467">
        <v>3.9301480000000002E-4</v>
      </c>
      <c r="BL4" s="464">
        <f t="shared" ref="BL4:BL13" si="6">+BK4*$BM$3</f>
        <v>5.3646520200000003</v>
      </c>
      <c r="BO4" s="466">
        <v>1</v>
      </c>
      <c r="BP4" s="464" t="s">
        <v>708</v>
      </c>
      <c r="BQ4" s="467">
        <v>9.842099999999999E-4</v>
      </c>
      <c r="BR4" s="464">
        <f t="shared" ref="BR4:BR14" si="7">+BQ4*$BS$3</f>
        <v>4.4289449999999994E-2</v>
      </c>
      <c r="BU4" s="466">
        <v>1</v>
      </c>
      <c r="BV4" s="464" t="s">
        <v>836</v>
      </c>
      <c r="BW4" s="467">
        <v>1</v>
      </c>
      <c r="BX4" s="464">
        <f t="shared" ref="BX4:BX14" si="8">+BW4*$BY$3</f>
        <v>64583.462500258327</v>
      </c>
      <c r="CA4" s="466">
        <v>1</v>
      </c>
      <c r="CB4" s="464" t="s">
        <v>837</v>
      </c>
      <c r="CC4" s="467">
        <v>1.6018460000000002E-2</v>
      </c>
      <c r="CD4" s="464">
        <f t="shared" ref="CD4:CD15" si="9">+CC4*$CE$3</f>
        <v>0.99955190400000005</v>
      </c>
      <c r="CF4" s="458"/>
      <c r="CG4" s="466">
        <v>1</v>
      </c>
      <c r="CH4" s="464" t="s">
        <v>709</v>
      </c>
      <c r="CI4" s="464">
        <v>1</v>
      </c>
      <c r="CJ4" s="464">
        <f t="shared" ref="CJ4:CJ12" si="10">+CI4*$CK$3</f>
        <v>1</v>
      </c>
      <c r="CM4" s="466">
        <v>1</v>
      </c>
      <c r="CN4" s="464" t="s">
        <v>710</v>
      </c>
      <c r="CO4" s="464">
        <v>100</v>
      </c>
      <c r="CP4" s="464">
        <f t="shared" ref="CP4:CP10" si="11">+CO4*$CQ$3</f>
        <v>1</v>
      </c>
      <c r="CS4" s="466">
        <v>1</v>
      </c>
      <c r="CT4" s="464" t="s">
        <v>711</v>
      </c>
      <c r="CU4" s="467">
        <v>2.777778E-4</v>
      </c>
      <c r="CV4" s="464">
        <f t="shared" ref="CV4:CV14" si="12">+CU4*$CW$3</f>
        <v>2.777778E-4</v>
      </c>
      <c r="CY4" s="466">
        <v>1</v>
      </c>
      <c r="CZ4" s="464" t="s">
        <v>838</v>
      </c>
      <c r="DA4" s="467">
        <v>1</v>
      </c>
      <c r="DB4" s="464">
        <f>+DA4*$DC$3</f>
        <v>1</v>
      </c>
      <c r="DE4" s="466">
        <v>1</v>
      </c>
      <c r="DF4" s="464" t="s">
        <v>712</v>
      </c>
      <c r="DG4" s="467">
        <v>1</v>
      </c>
      <c r="DH4" s="464">
        <f>+DG4*$DI$3</f>
        <v>1</v>
      </c>
      <c r="DK4" s="466">
        <v>1</v>
      </c>
      <c r="DL4" s="464" t="s">
        <v>839</v>
      </c>
      <c r="DM4" s="467">
        <v>1</v>
      </c>
      <c r="DN4" s="464">
        <f>+DM4*$DO$3</f>
        <v>1</v>
      </c>
      <c r="DQ4" s="466">
        <v>1</v>
      </c>
      <c r="DR4" s="464" t="s">
        <v>713</v>
      </c>
      <c r="DS4" s="467">
        <v>1</v>
      </c>
      <c r="DT4" s="464">
        <f>+DS4*$DU$3</f>
        <v>1</v>
      </c>
      <c r="DW4" s="466">
        <v>1</v>
      </c>
      <c r="DX4" s="464" t="s">
        <v>714</v>
      </c>
      <c r="DY4" s="467">
        <v>1</v>
      </c>
      <c r="DZ4" s="464">
        <f>+DY4*$EA$3</f>
        <v>1</v>
      </c>
    </row>
    <row r="5" spans="1:131" ht="15" customHeight="1">
      <c r="E5" s="469"/>
      <c r="J5" s="469"/>
      <c r="O5" s="469"/>
      <c r="T5" s="469"/>
      <c r="V5" s="452"/>
      <c r="Y5" s="466">
        <v>2</v>
      </c>
      <c r="Z5" s="464" t="s">
        <v>715</v>
      </c>
      <c r="AA5" s="464">
        <v>0.3333334</v>
      </c>
      <c r="AB5" s="464">
        <f t="shared" si="0"/>
        <v>1.90000038</v>
      </c>
      <c r="AE5" s="466">
        <v>2</v>
      </c>
      <c r="AF5" s="464" t="s">
        <v>716</v>
      </c>
      <c r="AG5" s="464">
        <v>0.1781076</v>
      </c>
      <c r="AH5" s="464">
        <f t="shared" si="1"/>
        <v>1</v>
      </c>
      <c r="AK5" s="466">
        <v>2</v>
      </c>
      <c r="AL5" s="464" t="s">
        <v>717</v>
      </c>
      <c r="AM5" s="467">
        <v>9.0880189999999993E-3</v>
      </c>
      <c r="AN5" s="464">
        <f t="shared" si="2"/>
        <v>9.0880189999999993E-3</v>
      </c>
      <c r="AQ5" s="466">
        <v>2</v>
      </c>
      <c r="AR5" s="464" t="s">
        <v>840</v>
      </c>
      <c r="AS5" s="467">
        <v>60</v>
      </c>
      <c r="AT5" s="464">
        <f t="shared" si="3"/>
        <v>288.4029636837887</v>
      </c>
      <c r="AW5" s="466">
        <v>2</v>
      </c>
      <c r="AX5" s="464" t="s">
        <v>718</v>
      </c>
      <c r="AY5" s="467">
        <v>2.0417719999999999</v>
      </c>
      <c r="AZ5" s="464">
        <f t="shared" si="4"/>
        <v>30.014048399999997</v>
      </c>
      <c r="BC5" s="466">
        <v>2</v>
      </c>
      <c r="BD5" s="464" t="s">
        <v>719</v>
      </c>
      <c r="BE5" s="464">
        <v>1.0139</v>
      </c>
      <c r="BF5" s="464">
        <f t="shared" si="5"/>
        <v>1825.02</v>
      </c>
      <c r="BI5" s="466">
        <v>2</v>
      </c>
      <c r="BJ5" s="464" t="s">
        <v>720</v>
      </c>
      <c r="BK5" s="464">
        <v>1</v>
      </c>
      <c r="BL5" s="464">
        <f t="shared" si="6"/>
        <v>13650</v>
      </c>
      <c r="BO5" s="466">
        <v>2</v>
      </c>
      <c r="BP5" s="464" t="s">
        <v>721</v>
      </c>
      <c r="BQ5" s="467">
        <v>1.1023000000000001E-3</v>
      </c>
      <c r="BR5" s="464">
        <f t="shared" si="7"/>
        <v>4.9603500000000002E-2</v>
      </c>
      <c r="BU5" s="466">
        <v>2</v>
      </c>
      <c r="BV5" s="464" t="s">
        <v>841</v>
      </c>
      <c r="BW5" s="467">
        <v>144</v>
      </c>
      <c r="BX5" s="464">
        <f t="shared" si="8"/>
        <v>9300018.6000371985</v>
      </c>
      <c r="CA5" s="466">
        <v>2</v>
      </c>
      <c r="CB5" s="464" t="s">
        <v>722</v>
      </c>
      <c r="CC5" s="467">
        <v>1.6018460000000002E-2</v>
      </c>
      <c r="CD5" s="464">
        <f t="shared" si="9"/>
        <v>0.99955190400000005</v>
      </c>
      <c r="CF5" s="458"/>
      <c r="CG5" s="466">
        <v>2</v>
      </c>
      <c r="CH5" s="464" t="s">
        <v>723</v>
      </c>
      <c r="CI5" s="464">
        <v>0.01</v>
      </c>
      <c r="CJ5" s="464">
        <f t="shared" si="10"/>
        <v>0.01</v>
      </c>
      <c r="CM5" s="466">
        <v>2</v>
      </c>
      <c r="CN5" s="464" t="s">
        <v>724</v>
      </c>
      <c r="CO5" s="464">
        <v>1</v>
      </c>
      <c r="CP5" s="464">
        <f t="shared" si="11"/>
        <v>0.01</v>
      </c>
      <c r="CS5" s="466">
        <v>2</v>
      </c>
      <c r="CT5" s="464" t="s">
        <v>725</v>
      </c>
      <c r="CU5" s="467">
        <v>1.6666670000000001E-2</v>
      </c>
      <c r="CV5" s="464">
        <f t="shared" si="12"/>
        <v>1.6666670000000001E-2</v>
      </c>
      <c r="CY5" s="466">
        <v>2</v>
      </c>
      <c r="CZ5" s="464" t="s">
        <v>842</v>
      </c>
      <c r="DA5" s="467">
        <v>1.35623E-4</v>
      </c>
      <c r="DB5" s="464">
        <f>+DA5*$DC$3</f>
        <v>1.35623E-4</v>
      </c>
      <c r="DE5" s="466">
        <v>2</v>
      </c>
      <c r="DF5" s="464" t="s">
        <v>726</v>
      </c>
      <c r="DG5" s="467">
        <v>4.1337889999999997E-3</v>
      </c>
      <c r="DH5" s="464">
        <f>+DG5*$DI$3</f>
        <v>4.1337889999999997E-3</v>
      </c>
      <c r="DK5" s="466">
        <v>2</v>
      </c>
      <c r="DL5" s="464" t="s">
        <v>843</v>
      </c>
      <c r="DM5" s="467">
        <v>7.5346110000000001E-5</v>
      </c>
      <c r="DN5" s="464">
        <f>+DM5*$DO$3</f>
        <v>7.5346110000000001E-5</v>
      </c>
      <c r="DQ5" s="466">
        <v>2</v>
      </c>
      <c r="DR5" s="464" t="s">
        <v>727</v>
      </c>
      <c r="DS5" s="467">
        <v>0.55555560000000004</v>
      </c>
      <c r="DT5" s="464">
        <f>+DS5*$DU$3</f>
        <v>0.55555560000000004</v>
      </c>
      <c r="DW5" s="466">
        <v>2</v>
      </c>
      <c r="DX5" s="464" t="s">
        <v>728</v>
      </c>
      <c r="DY5" s="467">
        <v>1</v>
      </c>
      <c r="DZ5" s="464">
        <f>+DY5*$EA$3</f>
        <v>1</v>
      </c>
    </row>
    <row r="6" spans="1:131" ht="15" customHeight="1" thickBot="1">
      <c r="A6" s="470"/>
      <c r="B6" s="454" t="s">
        <v>729</v>
      </c>
      <c r="C6" s="455"/>
      <c r="D6" s="455"/>
      <c r="E6" s="471"/>
      <c r="F6" s="457"/>
      <c r="G6" s="454" t="s">
        <v>730</v>
      </c>
      <c r="H6" s="455"/>
      <c r="I6" s="455"/>
      <c r="J6" s="471"/>
      <c r="K6" s="457"/>
      <c r="L6" s="454" t="s">
        <v>731</v>
      </c>
      <c r="M6" s="455"/>
      <c r="N6" s="455"/>
      <c r="O6" s="471"/>
      <c r="P6" s="457"/>
      <c r="Q6" s="454" t="s">
        <v>732</v>
      </c>
      <c r="R6" s="455"/>
      <c r="S6" s="455"/>
      <c r="T6" s="471"/>
      <c r="U6" s="452"/>
      <c r="V6" s="452"/>
      <c r="Y6" s="466">
        <v>3</v>
      </c>
      <c r="Z6" s="464" t="s">
        <v>733</v>
      </c>
      <c r="AA6" s="464">
        <v>1</v>
      </c>
      <c r="AB6" s="464">
        <f t="shared" si="0"/>
        <v>5.7</v>
      </c>
      <c r="AE6" s="466">
        <v>3</v>
      </c>
      <c r="AF6" s="464" t="s">
        <v>844</v>
      </c>
      <c r="AG6" s="464">
        <v>1</v>
      </c>
      <c r="AH6" s="464">
        <f t="shared" si="1"/>
        <v>5.6145835438802161</v>
      </c>
      <c r="AK6" s="466">
        <v>3</v>
      </c>
      <c r="AL6" s="464" t="s">
        <v>734</v>
      </c>
      <c r="AM6" s="464">
        <v>0.37866749999999999</v>
      </c>
      <c r="AN6" s="464">
        <f t="shared" si="2"/>
        <v>0.37866749999999999</v>
      </c>
      <c r="AQ6" s="466">
        <v>3</v>
      </c>
      <c r="AR6" s="464" t="s">
        <v>845</v>
      </c>
      <c r="AS6" s="464">
        <v>3600</v>
      </c>
      <c r="AT6" s="464">
        <f t="shared" si="3"/>
        <v>17304.177821027319</v>
      </c>
      <c r="AW6" s="466">
        <v>3</v>
      </c>
      <c r="AX6" s="464" t="s">
        <v>735</v>
      </c>
      <c r="AY6" s="464">
        <v>51.71508</v>
      </c>
      <c r="AZ6" s="464">
        <f t="shared" si="4"/>
        <v>760.21167600000001</v>
      </c>
      <c r="BC6" s="466">
        <v>3</v>
      </c>
      <c r="BD6" s="464" t="s">
        <v>736</v>
      </c>
      <c r="BE6" s="467">
        <v>0.21203929999999999</v>
      </c>
      <c r="BF6" s="464">
        <f t="shared" si="5"/>
        <v>381.67073999999997</v>
      </c>
      <c r="BI6" s="466">
        <v>3</v>
      </c>
      <c r="BJ6" s="464" t="s">
        <v>846</v>
      </c>
      <c r="BK6" s="467">
        <v>778.16930000000002</v>
      </c>
      <c r="BL6" s="464">
        <f t="shared" si="6"/>
        <v>10622010.945</v>
      </c>
      <c r="BO6" s="466">
        <v>3</v>
      </c>
      <c r="BP6" s="464" t="s">
        <v>737</v>
      </c>
      <c r="BQ6" s="467">
        <v>1E-3</v>
      </c>
      <c r="BR6" s="464">
        <f t="shared" si="7"/>
        <v>4.4999999999999998E-2</v>
      </c>
      <c r="BU6" s="466">
        <v>3</v>
      </c>
      <c r="BV6" s="464" t="s">
        <v>847</v>
      </c>
      <c r="BW6" s="467">
        <v>0.1111111</v>
      </c>
      <c r="BX6" s="464">
        <f t="shared" si="8"/>
        <v>7175.9395602124532</v>
      </c>
      <c r="CA6" s="466">
        <v>3</v>
      </c>
      <c r="CB6" s="464" t="s">
        <v>738</v>
      </c>
      <c r="CC6" s="467">
        <v>16.018460000000001</v>
      </c>
      <c r="CD6" s="464">
        <f t="shared" si="9"/>
        <v>999.55190400000004</v>
      </c>
      <c r="CF6" s="458"/>
      <c r="CG6" s="466">
        <v>3</v>
      </c>
      <c r="CH6" s="464" t="s">
        <v>739</v>
      </c>
      <c r="CI6" s="464">
        <v>1E-3</v>
      </c>
      <c r="CJ6" s="464">
        <f t="shared" si="10"/>
        <v>1E-3</v>
      </c>
      <c r="CM6" s="466">
        <v>3</v>
      </c>
      <c r="CN6" s="464" t="s">
        <v>848</v>
      </c>
      <c r="CO6" s="464">
        <v>1.0763909999999999E-3</v>
      </c>
      <c r="CP6" s="464">
        <f t="shared" si="11"/>
        <v>1.0763909999999999E-5</v>
      </c>
      <c r="CS6" s="466">
        <v>3</v>
      </c>
      <c r="CT6" s="464" t="s">
        <v>740</v>
      </c>
      <c r="CU6" s="464">
        <v>1</v>
      </c>
      <c r="CV6" s="464">
        <f t="shared" si="12"/>
        <v>1</v>
      </c>
      <c r="CY6" s="466">
        <v>3</v>
      </c>
      <c r="CZ6" s="464" t="s">
        <v>849</v>
      </c>
      <c r="DA6" s="467">
        <v>5.6782640000000004E-4</v>
      </c>
      <c r="DB6" s="464">
        <f>+DA6*$DC$3</f>
        <v>5.6782640000000004E-4</v>
      </c>
      <c r="DE6" s="466">
        <v>3</v>
      </c>
      <c r="DF6" s="464" t="s">
        <v>741</v>
      </c>
      <c r="DG6" s="467">
        <v>1.7307349999999999E-2</v>
      </c>
      <c r="DH6" s="464">
        <f>+DG6*$DI$3</f>
        <v>1.7307349999999999E-2</v>
      </c>
      <c r="DK6" s="466">
        <v>3</v>
      </c>
      <c r="DL6" s="464" t="s">
        <v>850</v>
      </c>
      <c r="DM6" s="467">
        <v>3.1545910000000001E-4</v>
      </c>
      <c r="DN6" s="464">
        <f>+DM6*$DO$3</f>
        <v>3.1545910000000001E-4</v>
      </c>
      <c r="DQ6" s="466">
        <v>3</v>
      </c>
      <c r="DR6" s="464" t="s">
        <v>742</v>
      </c>
      <c r="DS6" s="467">
        <v>2.3260000000000001</v>
      </c>
      <c r="DT6" s="464">
        <f>+DS6*$DU$3</f>
        <v>2.3260000000000001</v>
      </c>
      <c r="DW6" s="466">
        <v>3</v>
      </c>
      <c r="DX6" s="464" t="s">
        <v>743</v>
      </c>
      <c r="DY6" s="467">
        <v>4.1867999999999999</v>
      </c>
      <c r="DZ6" s="464">
        <f>+DY6*$EA$3</f>
        <v>4.1867999999999999</v>
      </c>
    </row>
    <row r="7" spans="1:131" ht="15" customHeight="1" thickBot="1">
      <c r="A7" s="472"/>
      <c r="B7" s="460"/>
      <c r="C7" s="460"/>
      <c r="D7" s="461">
        <v>2</v>
      </c>
      <c r="E7" s="473">
        <v>1</v>
      </c>
      <c r="F7" s="460"/>
      <c r="G7" s="460"/>
      <c r="H7" s="460"/>
      <c r="I7" s="461">
        <v>2</v>
      </c>
      <c r="J7" s="473">
        <v>13650</v>
      </c>
      <c r="K7" s="460"/>
      <c r="L7" s="460"/>
      <c r="M7" s="460"/>
      <c r="N7" s="461">
        <v>1</v>
      </c>
      <c r="O7" s="473">
        <v>1</v>
      </c>
      <c r="P7" s="460"/>
      <c r="Q7" s="460"/>
      <c r="R7" s="460"/>
      <c r="S7" s="461">
        <v>1</v>
      </c>
      <c r="T7" s="473">
        <v>1</v>
      </c>
      <c r="U7" s="452"/>
      <c r="V7" s="452"/>
      <c r="Y7" s="466">
        <v>4</v>
      </c>
      <c r="Z7" s="464" t="s">
        <v>744</v>
      </c>
      <c r="AA7" s="464">
        <v>12</v>
      </c>
      <c r="AB7" s="464">
        <f t="shared" si="0"/>
        <v>68.400000000000006</v>
      </c>
      <c r="AE7" s="466">
        <v>4</v>
      </c>
      <c r="AF7" s="464" t="s">
        <v>745</v>
      </c>
      <c r="AG7" s="464">
        <v>6.2288329999999998</v>
      </c>
      <c r="AH7" s="464">
        <f t="shared" si="1"/>
        <v>34.972303259378037</v>
      </c>
      <c r="AK7" s="466">
        <v>4</v>
      </c>
      <c r="AL7" s="464" t="s">
        <v>746</v>
      </c>
      <c r="AM7" s="464">
        <v>9.0880179999999999</v>
      </c>
      <c r="AN7" s="464">
        <f t="shared" si="2"/>
        <v>9.0880179999999999</v>
      </c>
      <c r="AQ7" s="466">
        <v>4</v>
      </c>
      <c r="AR7" s="464" t="s">
        <v>747</v>
      </c>
      <c r="AS7" s="464">
        <v>641.18740000000003</v>
      </c>
      <c r="AT7" s="464">
        <f t="shared" si="3"/>
        <v>3082.0057739450481</v>
      </c>
      <c r="AW7" s="466">
        <v>4</v>
      </c>
      <c r="AX7" s="464" t="s">
        <v>851</v>
      </c>
      <c r="AY7" s="464">
        <v>2.3089659999999999</v>
      </c>
      <c r="AZ7" s="464">
        <f t="shared" si="4"/>
        <v>33.941800199999996</v>
      </c>
      <c r="BC7" s="466">
        <v>4</v>
      </c>
      <c r="BD7" s="464" t="s">
        <v>748</v>
      </c>
      <c r="BE7" s="464">
        <v>42.390549999999998</v>
      </c>
      <c r="BF7" s="464">
        <f t="shared" si="5"/>
        <v>76302.989999999991</v>
      </c>
      <c r="BI7" s="466">
        <v>4</v>
      </c>
      <c r="BJ7" s="464" t="s">
        <v>749</v>
      </c>
      <c r="BK7" s="467">
        <v>2.9307109999999998E-4</v>
      </c>
      <c r="BL7" s="464">
        <f t="shared" si="6"/>
        <v>4.0004205150000001</v>
      </c>
      <c r="BO7" s="466">
        <v>4</v>
      </c>
      <c r="BP7" s="464" t="s">
        <v>750</v>
      </c>
      <c r="BQ7" s="467">
        <v>2.2046000000000001</v>
      </c>
      <c r="BR7" s="464">
        <f t="shared" si="7"/>
        <v>99.207000000000008</v>
      </c>
      <c r="BU7" s="466">
        <v>4</v>
      </c>
      <c r="BV7" s="464" t="s">
        <v>852</v>
      </c>
      <c r="BW7" s="467">
        <v>3.5870069999999999E-8</v>
      </c>
      <c r="BX7" s="464">
        <f t="shared" si="8"/>
        <v>2.3166133207266413E-3</v>
      </c>
      <c r="CA7" s="466">
        <v>4</v>
      </c>
      <c r="CB7" s="464" t="s">
        <v>751</v>
      </c>
      <c r="CC7" s="467">
        <v>60.636450799999999</v>
      </c>
      <c r="CD7" s="464">
        <f t="shared" si="9"/>
        <v>3783.7145299199997</v>
      </c>
      <c r="CF7" s="458"/>
      <c r="CG7" s="466">
        <v>4</v>
      </c>
      <c r="CH7" s="464" t="s">
        <v>752</v>
      </c>
      <c r="CI7" s="464">
        <v>2.4190879999999999</v>
      </c>
      <c r="CJ7" s="464">
        <f t="shared" si="10"/>
        <v>2.4190879999999999</v>
      </c>
      <c r="CM7" s="466">
        <v>4</v>
      </c>
      <c r="CN7" s="464" t="s">
        <v>853</v>
      </c>
      <c r="CO7" s="464">
        <v>3.8750079999999998</v>
      </c>
      <c r="CP7" s="464">
        <f t="shared" si="11"/>
        <v>3.8750079999999999E-2</v>
      </c>
      <c r="CS7" s="466">
        <v>4</v>
      </c>
      <c r="CT7" s="464" t="s">
        <v>753</v>
      </c>
      <c r="CU7" s="464">
        <v>24</v>
      </c>
      <c r="CV7" s="464">
        <f t="shared" si="12"/>
        <v>24</v>
      </c>
      <c r="CY7" s="466">
        <v>4</v>
      </c>
      <c r="CZ7" s="464" t="s">
        <v>854</v>
      </c>
      <c r="DA7" s="464">
        <v>4.882428</v>
      </c>
      <c r="DB7" s="464">
        <f>+DA7*$DC$3</f>
        <v>4.882428</v>
      </c>
      <c r="DE7" s="466">
        <v>4</v>
      </c>
      <c r="DF7" s="464" t="s">
        <v>754</v>
      </c>
      <c r="DG7" s="464">
        <v>1.488164</v>
      </c>
      <c r="DH7" s="464">
        <f>+DG7*$DI$3</f>
        <v>1.488164</v>
      </c>
      <c r="DK7" s="466">
        <v>4</v>
      </c>
      <c r="DL7" s="464" t="s">
        <v>855</v>
      </c>
      <c r="DM7" s="464">
        <v>2.7124600000000001</v>
      </c>
      <c r="DN7" s="464">
        <f>+DM7*$DO$3</f>
        <v>2.7124600000000001</v>
      </c>
      <c r="DQ7" s="466">
        <v>4</v>
      </c>
      <c r="DR7" s="464" t="s">
        <v>755</v>
      </c>
      <c r="DS7" s="464">
        <v>555.55560000000003</v>
      </c>
      <c r="DT7" s="464">
        <f>+DS7*$DU$3</f>
        <v>555.55560000000003</v>
      </c>
      <c r="DW7" s="466">
        <v>4</v>
      </c>
      <c r="DX7" s="464" t="s">
        <v>756</v>
      </c>
      <c r="DY7" s="464">
        <v>1000</v>
      </c>
      <c r="DZ7" s="464">
        <f>+DY7*$EA$3</f>
        <v>1000</v>
      </c>
    </row>
    <row r="8" spans="1:131" ht="15" customHeight="1">
      <c r="A8" s="472"/>
      <c r="B8" s="460"/>
      <c r="C8" s="460"/>
      <c r="D8" s="461">
        <v>5</v>
      </c>
      <c r="E8" s="465">
        <f>VLOOKUP(D8,AE4:AH14,4,FALSE)</f>
        <v>41.999998877083293</v>
      </c>
      <c r="F8" s="460"/>
      <c r="G8" s="460"/>
      <c r="H8" s="460"/>
      <c r="I8" s="461">
        <v>4</v>
      </c>
      <c r="J8" s="465">
        <f>VLOOKUP(I8,BI4:BL13,4,FALSE)</f>
        <v>4.0004205150000001</v>
      </c>
      <c r="K8" s="460"/>
      <c r="L8" s="460"/>
      <c r="M8" s="460"/>
      <c r="N8" s="461">
        <v>5</v>
      </c>
      <c r="O8" s="465">
        <f>VLOOKUP(N8,CM4:CP10,4,FALSE)</f>
        <v>1.0000000000000002E-6</v>
      </c>
      <c r="P8" s="460"/>
      <c r="Q8" s="460"/>
      <c r="R8" s="460"/>
      <c r="S8" s="461">
        <v>5</v>
      </c>
      <c r="T8" s="465">
        <f>VLOOKUP(S8,DQ4:DT8,4,FALSE)</f>
        <v>2326</v>
      </c>
      <c r="U8" s="452"/>
      <c r="V8" s="452"/>
      <c r="Y8" s="466">
        <v>5</v>
      </c>
      <c r="Z8" s="464" t="s">
        <v>757</v>
      </c>
      <c r="AA8" s="467">
        <v>3.0479999999999998E-4</v>
      </c>
      <c r="AB8" s="464">
        <f t="shared" si="0"/>
        <v>1.7373599999999999E-3</v>
      </c>
      <c r="AE8" s="466">
        <v>5</v>
      </c>
      <c r="AF8" s="464" t="s">
        <v>758</v>
      </c>
      <c r="AG8" s="467">
        <v>7.4805190000000001</v>
      </c>
      <c r="AH8" s="464">
        <f t="shared" si="1"/>
        <v>41.999998877083293</v>
      </c>
      <c r="AK8" s="466">
        <v>5</v>
      </c>
      <c r="AL8" s="464" t="s">
        <v>759</v>
      </c>
      <c r="AM8" s="467">
        <v>1</v>
      </c>
      <c r="AN8" s="464">
        <f t="shared" si="2"/>
        <v>1</v>
      </c>
      <c r="AQ8" s="466">
        <v>5</v>
      </c>
      <c r="AR8" s="464" t="s">
        <v>760</v>
      </c>
      <c r="AS8" s="467">
        <v>15388.5</v>
      </c>
      <c r="AT8" s="464">
        <f t="shared" si="3"/>
        <v>73968.150110799703</v>
      </c>
      <c r="AW8" s="466">
        <v>5</v>
      </c>
      <c r="AX8" s="464" t="s">
        <v>856</v>
      </c>
      <c r="AY8" s="467">
        <v>27.70759</v>
      </c>
      <c r="AZ8" s="464">
        <f t="shared" si="4"/>
        <v>407.30157299999996</v>
      </c>
      <c r="BC8" s="466">
        <v>5</v>
      </c>
      <c r="BD8" s="464" t="s">
        <v>761</v>
      </c>
      <c r="BE8" s="464">
        <v>2544.433</v>
      </c>
      <c r="BF8" s="464">
        <f t="shared" si="5"/>
        <v>4579979.4000000004</v>
      </c>
      <c r="BI8" s="466">
        <v>5</v>
      </c>
      <c r="BJ8" s="464" t="s">
        <v>762</v>
      </c>
      <c r="BK8" s="464">
        <v>252.1644</v>
      </c>
      <c r="BL8" s="464">
        <f t="shared" si="6"/>
        <v>3442044.06</v>
      </c>
      <c r="BO8" s="466">
        <v>5</v>
      </c>
      <c r="BP8" s="464" t="s">
        <v>763</v>
      </c>
      <c r="BQ8" s="464">
        <v>35.274000000000001</v>
      </c>
      <c r="BR8" s="464">
        <f t="shared" si="7"/>
        <v>1587.33</v>
      </c>
      <c r="BU8" s="466">
        <v>5</v>
      </c>
      <c r="BV8" s="464" t="s">
        <v>857</v>
      </c>
      <c r="BW8" s="464">
        <v>92903.039999999994</v>
      </c>
      <c r="BX8" s="464">
        <f t="shared" si="8"/>
        <v>5999999999.999999</v>
      </c>
      <c r="CA8" s="466">
        <v>5</v>
      </c>
      <c r="CB8" s="464" t="s">
        <v>858</v>
      </c>
      <c r="CC8" s="464">
        <v>16.018460000000001</v>
      </c>
      <c r="CD8" s="464">
        <f t="shared" si="9"/>
        <v>999.55190400000004</v>
      </c>
      <c r="CF8" s="458"/>
      <c r="CG8" s="466">
        <v>5</v>
      </c>
      <c r="CH8" s="464" t="s">
        <v>764</v>
      </c>
      <c r="CI8" s="467">
        <v>6.7196900000000002E-4</v>
      </c>
      <c r="CJ8" s="464">
        <f t="shared" si="10"/>
        <v>6.7196900000000002E-4</v>
      </c>
      <c r="CM8" s="466">
        <v>5</v>
      </c>
      <c r="CN8" s="464" t="s">
        <v>859</v>
      </c>
      <c r="CO8" s="467">
        <v>1E-4</v>
      </c>
      <c r="CP8" s="464">
        <f t="shared" si="11"/>
        <v>1.0000000000000002E-6</v>
      </c>
      <c r="CS8" s="466">
        <v>5</v>
      </c>
      <c r="CT8" s="464" t="s">
        <v>765</v>
      </c>
      <c r="CU8" s="467">
        <v>1.2599789999999999E-4</v>
      </c>
      <c r="CV8" s="464">
        <f t="shared" si="12"/>
        <v>1.2599789999999999E-4</v>
      </c>
      <c r="CY8" s="466">
        <v>5</v>
      </c>
      <c r="CZ8" s="464" t="s">
        <v>860</v>
      </c>
      <c r="DA8" s="467">
        <v>5.6782640000000004</v>
      </c>
      <c r="DB8" s="464">
        <f>+DA8*$DC$3</f>
        <v>5.6782640000000004</v>
      </c>
      <c r="DE8" s="466">
        <v>5</v>
      </c>
      <c r="DF8" s="464" t="s">
        <v>766</v>
      </c>
      <c r="DG8" s="467">
        <v>1.7307349999999999</v>
      </c>
      <c r="DH8" s="464">
        <f>+DG8*$DI$3</f>
        <v>1.7307349999999999</v>
      </c>
      <c r="DK8" s="466">
        <v>5</v>
      </c>
      <c r="DL8" s="464" t="s">
        <v>861</v>
      </c>
      <c r="DM8" s="467">
        <v>3.1545909999999999</v>
      </c>
      <c r="DN8" s="464">
        <f>+DM8*$DO$3</f>
        <v>3.1545909999999999</v>
      </c>
      <c r="DQ8" s="466">
        <v>5</v>
      </c>
      <c r="DR8" s="464" t="s">
        <v>767</v>
      </c>
      <c r="DS8" s="467">
        <v>2326</v>
      </c>
      <c r="DT8" s="464">
        <f>+DS8*$DU$3</f>
        <v>2326</v>
      </c>
      <c r="DW8" s="466">
        <v>5</v>
      </c>
      <c r="DX8" s="464" t="s">
        <v>768</v>
      </c>
      <c r="DY8" s="467">
        <v>4186.8</v>
      </c>
      <c r="DZ8" s="464">
        <f>+DY8*$EA$3</f>
        <v>4186.8</v>
      </c>
    </row>
    <row r="9" spans="1:131" ht="15" customHeight="1">
      <c r="E9" s="469"/>
      <c r="J9" s="469"/>
      <c r="O9" s="469"/>
      <c r="T9" s="469"/>
      <c r="Y9" s="466">
        <v>6</v>
      </c>
      <c r="Z9" s="464" t="s">
        <v>769</v>
      </c>
      <c r="AA9" s="467">
        <v>0.30480000000000002</v>
      </c>
      <c r="AB9" s="464">
        <f t="shared" si="0"/>
        <v>1.7373600000000002</v>
      </c>
      <c r="AE9" s="466">
        <v>6</v>
      </c>
      <c r="AF9" s="464" t="s">
        <v>770</v>
      </c>
      <c r="AG9" s="464">
        <v>957.50649999999996</v>
      </c>
      <c r="AH9" s="464">
        <f t="shared" si="1"/>
        <v>5376.0002380583419</v>
      </c>
      <c r="AK9" s="466">
        <v>6</v>
      </c>
      <c r="AL9" s="464" t="s">
        <v>771</v>
      </c>
      <c r="AM9" s="464">
        <v>24</v>
      </c>
      <c r="AN9" s="464">
        <f t="shared" si="2"/>
        <v>24</v>
      </c>
      <c r="AQ9" s="466">
        <v>6</v>
      </c>
      <c r="AR9" s="464" t="s">
        <v>772</v>
      </c>
      <c r="AS9" s="464">
        <v>448.83120000000002</v>
      </c>
      <c r="AT9" s="464">
        <f t="shared" si="3"/>
        <v>2157.404137895855</v>
      </c>
      <c r="AW9" s="466">
        <v>6</v>
      </c>
      <c r="AX9" s="464" t="s">
        <v>773</v>
      </c>
      <c r="AY9" s="464">
        <v>51.71508</v>
      </c>
      <c r="AZ9" s="464">
        <f t="shared" si="4"/>
        <v>760.21167600000001</v>
      </c>
      <c r="BC9" s="466">
        <v>6</v>
      </c>
      <c r="BD9" s="464" t="s">
        <v>774</v>
      </c>
      <c r="BE9" s="464">
        <v>0.74569989999999997</v>
      </c>
      <c r="BF9" s="464">
        <f t="shared" si="5"/>
        <v>1342.25982</v>
      </c>
      <c r="BI9" s="466">
        <v>6</v>
      </c>
      <c r="BJ9" s="464" t="s">
        <v>775</v>
      </c>
      <c r="BK9" s="464">
        <v>0.25216440000000001</v>
      </c>
      <c r="BL9" s="464">
        <f t="shared" si="6"/>
        <v>3442.0440600000002</v>
      </c>
      <c r="BO9" s="466">
        <v>6</v>
      </c>
      <c r="BP9" s="464" t="s">
        <v>776</v>
      </c>
      <c r="BQ9" s="464">
        <v>1</v>
      </c>
      <c r="BR9" s="464">
        <f t="shared" si="7"/>
        <v>45</v>
      </c>
      <c r="BU9" s="466">
        <v>6</v>
      </c>
      <c r="BV9" s="464" t="s">
        <v>862</v>
      </c>
      <c r="BW9" s="464">
        <v>929.03039999999999</v>
      </c>
      <c r="BX9" s="464">
        <f t="shared" si="8"/>
        <v>59999999.999999993</v>
      </c>
      <c r="CA9" s="466">
        <v>6</v>
      </c>
      <c r="CB9" s="464" t="s">
        <v>863</v>
      </c>
      <c r="CC9" s="467">
        <v>5.7870369999999999E-4</v>
      </c>
      <c r="CD9" s="464">
        <f t="shared" si="9"/>
        <v>3.6111110879999998E-2</v>
      </c>
      <c r="CF9" s="458"/>
      <c r="CG9" s="466">
        <v>6</v>
      </c>
      <c r="CH9" s="464" t="s">
        <v>864</v>
      </c>
      <c r="CI9" s="467">
        <v>2.0885440000000001E-5</v>
      </c>
      <c r="CJ9" s="464">
        <f t="shared" si="10"/>
        <v>2.0885440000000001E-5</v>
      </c>
      <c r="CM9" s="466">
        <v>6</v>
      </c>
      <c r="CN9" s="464" t="s">
        <v>865</v>
      </c>
      <c r="CO9" s="467">
        <v>0.36</v>
      </c>
      <c r="CP9" s="464">
        <f t="shared" si="11"/>
        <v>3.5999999999999999E-3</v>
      </c>
      <c r="CS9" s="466">
        <v>6</v>
      </c>
      <c r="CT9" s="464" t="s">
        <v>777</v>
      </c>
      <c r="CU9" s="467">
        <v>7.5598729999999999E-3</v>
      </c>
      <c r="CV9" s="464">
        <f t="shared" si="12"/>
        <v>7.5598729999999999E-3</v>
      </c>
      <c r="CY9" s="466"/>
      <c r="CZ9" s="464"/>
      <c r="DA9" s="467"/>
      <c r="DE9" s="466"/>
      <c r="DF9" s="464"/>
      <c r="DG9" s="467"/>
      <c r="DK9" s="466"/>
      <c r="DL9" s="464"/>
      <c r="DM9" s="467"/>
      <c r="DQ9" s="466"/>
      <c r="DR9" s="464"/>
      <c r="DS9" s="467"/>
      <c r="DW9" s="466"/>
      <c r="DX9" s="464"/>
      <c r="DY9" s="467"/>
    </row>
    <row r="10" spans="1:131" ht="15" customHeight="1" thickBot="1">
      <c r="A10" s="470"/>
      <c r="B10" s="454" t="s">
        <v>778</v>
      </c>
      <c r="C10" s="455"/>
      <c r="D10" s="455"/>
      <c r="E10" s="471"/>
      <c r="F10" s="457"/>
      <c r="G10" s="454" t="s">
        <v>779</v>
      </c>
      <c r="H10" s="455"/>
      <c r="I10" s="455"/>
      <c r="J10" s="471"/>
      <c r="K10" s="457"/>
      <c r="L10" s="454" t="s">
        <v>780</v>
      </c>
      <c r="M10" s="455"/>
      <c r="N10" s="455"/>
      <c r="O10" s="471"/>
      <c r="P10" s="457"/>
      <c r="Q10" s="454" t="s">
        <v>781</v>
      </c>
      <c r="R10" s="455"/>
      <c r="S10" s="455"/>
      <c r="T10" s="471"/>
      <c r="U10" s="452"/>
      <c r="V10" s="452"/>
      <c r="Y10" s="466">
        <v>7</v>
      </c>
      <c r="Z10" s="464" t="s">
        <v>782</v>
      </c>
      <c r="AA10" s="467">
        <v>30.48</v>
      </c>
      <c r="AB10" s="464">
        <f t="shared" si="0"/>
        <v>173.73600000000002</v>
      </c>
      <c r="AE10" s="466">
        <v>7</v>
      </c>
      <c r="AF10" s="464" t="s">
        <v>866</v>
      </c>
      <c r="AG10" s="464">
        <v>1728</v>
      </c>
      <c r="AH10" s="464">
        <f t="shared" si="1"/>
        <v>9702.0003638250128</v>
      </c>
      <c r="AK10" s="466">
        <v>7</v>
      </c>
      <c r="AL10" s="464" t="s">
        <v>783</v>
      </c>
      <c r="AM10" s="464">
        <v>453.5924</v>
      </c>
      <c r="AN10" s="464">
        <f t="shared" si="2"/>
        <v>453.5924</v>
      </c>
      <c r="AQ10" s="466">
        <v>7</v>
      </c>
      <c r="AR10" s="464" t="s">
        <v>784</v>
      </c>
      <c r="AS10" s="464">
        <v>646316.9</v>
      </c>
      <c r="AT10" s="464">
        <f t="shared" si="3"/>
        <v>3106661.8239819813</v>
      </c>
      <c r="AW10" s="466">
        <v>7</v>
      </c>
      <c r="AX10" s="464" t="s">
        <v>785</v>
      </c>
      <c r="AY10" s="467">
        <v>6.8045960000000003E-2</v>
      </c>
      <c r="AZ10" s="464">
        <f t="shared" si="4"/>
        <v>1.000275612</v>
      </c>
      <c r="BC10" s="466">
        <v>7</v>
      </c>
      <c r="BD10" s="464" t="s">
        <v>786</v>
      </c>
      <c r="BE10" s="467">
        <v>178.23</v>
      </c>
      <c r="BF10" s="464">
        <f t="shared" si="5"/>
        <v>320814</v>
      </c>
      <c r="BI10" s="466">
        <v>7</v>
      </c>
      <c r="BJ10" s="464" t="s">
        <v>787</v>
      </c>
      <c r="BK10" s="467">
        <v>1055.056</v>
      </c>
      <c r="BL10" s="464">
        <f t="shared" si="6"/>
        <v>14401514.4</v>
      </c>
      <c r="BO10" s="466">
        <v>7</v>
      </c>
      <c r="BP10" s="464" t="s">
        <v>788</v>
      </c>
      <c r="BQ10" s="467">
        <v>1000</v>
      </c>
      <c r="BR10" s="464">
        <f t="shared" si="7"/>
        <v>45000</v>
      </c>
      <c r="BU10" s="466">
        <v>7</v>
      </c>
      <c r="BV10" s="464" t="s">
        <v>867</v>
      </c>
      <c r="BW10" s="467">
        <v>9.2903040000000006E-2</v>
      </c>
      <c r="BX10" s="464">
        <f t="shared" si="8"/>
        <v>6000</v>
      </c>
      <c r="CA10" s="466">
        <v>7</v>
      </c>
      <c r="CB10" s="464" t="s">
        <v>868</v>
      </c>
      <c r="CC10" s="467">
        <v>1</v>
      </c>
      <c r="CD10" s="464">
        <f t="shared" si="9"/>
        <v>62.4</v>
      </c>
      <c r="CF10" s="458"/>
      <c r="CG10" s="466">
        <v>7</v>
      </c>
      <c r="CH10" s="464" t="s">
        <v>869</v>
      </c>
      <c r="CI10" s="467">
        <v>1.4503779999999999E-7</v>
      </c>
      <c r="CJ10" s="464">
        <f t="shared" si="10"/>
        <v>1.4503779999999999E-7</v>
      </c>
      <c r="CM10" s="466">
        <v>7</v>
      </c>
      <c r="CN10" s="464" t="s">
        <v>870</v>
      </c>
      <c r="CO10" s="467">
        <v>1</v>
      </c>
      <c r="CP10" s="464">
        <f t="shared" si="11"/>
        <v>0.01</v>
      </c>
      <c r="CS10" s="466">
        <v>7</v>
      </c>
      <c r="CT10" s="464" t="s">
        <v>789</v>
      </c>
      <c r="CU10" s="467">
        <v>0.45359240000000001</v>
      </c>
      <c r="CV10" s="464">
        <f t="shared" si="12"/>
        <v>0.45359240000000001</v>
      </c>
      <c r="CY10" s="466"/>
      <c r="CZ10" s="464"/>
      <c r="DA10" s="467"/>
      <c r="DE10" s="466"/>
      <c r="DF10" s="464"/>
      <c r="DG10" s="467"/>
      <c r="DK10" s="466"/>
      <c r="DL10" s="464"/>
      <c r="DM10" s="467"/>
      <c r="DQ10" s="466"/>
      <c r="DR10" s="464"/>
      <c r="DS10" s="467"/>
      <c r="DW10" s="466"/>
      <c r="DX10" s="464"/>
      <c r="DY10" s="467"/>
    </row>
    <row r="11" spans="1:131" ht="15" customHeight="1" thickBot="1">
      <c r="A11" s="472"/>
      <c r="B11" s="460"/>
      <c r="C11" s="460"/>
      <c r="D11" s="461">
        <v>5</v>
      </c>
      <c r="E11" s="473">
        <v>1</v>
      </c>
      <c r="F11" s="460"/>
      <c r="G11" s="460"/>
      <c r="H11" s="460"/>
      <c r="I11" s="461">
        <v>6</v>
      </c>
      <c r="J11" s="473">
        <v>45</v>
      </c>
      <c r="K11" s="460"/>
      <c r="L11" s="460"/>
      <c r="M11" s="460"/>
      <c r="N11" s="461">
        <v>3</v>
      </c>
      <c r="O11" s="473">
        <v>1</v>
      </c>
      <c r="P11" s="460"/>
      <c r="Q11" s="460"/>
      <c r="R11" s="460"/>
      <c r="S11" s="461">
        <v>1</v>
      </c>
      <c r="T11" s="473">
        <v>1</v>
      </c>
      <c r="U11" s="452"/>
      <c r="V11" s="452"/>
      <c r="Y11" s="466">
        <v>8</v>
      </c>
      <c r="Z11" s="464" t="s">
        <v>132</v>
      </c>
      <c r="AA11" s="467">
        <v>304.8</v>
      </c>
      <c r="AB11" s="464">
        <f t="shared" si="0"/>
        <v>1737.3600000000001</v>
      </c>
      <c r="AE11" s="466">
        <v>8</v>
      </c>
      <c r="AF11" s="464" t="s">
        <v>871</v>
      </c>
      <c r="AG11" s="467">
        <v>2.8316850000000001E-2</v>
      </c>
      <c r="AH11" s="464">
        <f t="shared" si="1"/>
        <v>0.15898732002452451</v>
      </c>
      <c r="AK11" s="466">
        <v>8</v>
      </c>
      <c r="AL11" s="464" t="s">
        <v>790</v>
      </c>
      <c r="AM11" s="467">
        <v>10886.22</v>
      </c>
      <c r="AN11" s="464">
        <f t="shared" si="2"/>
        <v>10886.22</v>
      </c>
      <c r="AQ11" s="466">
        <v>8</v>
      </c>
      <c r="AR11" s="464" t="s">
        <v>872</v>
      </c>
      <c r="AS11" s="467">
        <v>2.8316850000000001E-2</v>
      </c>
      <c r="AT11" s="464">
        <f t="shared" si="3"/>
        <v>0.13611105770315485</v>
      </c>
      <c r="AW11" s="466">
        <v>8</v>
      </c>
      <c r="AX11" s="464" t="s">
        <v>791</v>
      </c>
      <c r="AY11" s="467">
        <v>6.894757E-2</v>
      </c>
      <c r="AZ11" s="464">
        <f t="shared" si="4"/>
        <v>1.0135292789999999</v>
      </c>
      <c r="BC11" s="466">
        <v>8</v>
      </c>
      <c r="BD11" s="464" t="s">
        <v>792</v>
      </c>
      <c r="BE11" s="464">
        <v>10693.8</v>
      </c>
      <c r="BF11" s="464">
        <f t="shared" si="5"/>
        <v>19248840</v>
      </c>
      <c r="BI11" s="466">
        <v>8</v>
      </c>
      <c r="BJ11" s="464" t="s">
        <v>793</v>
      </c>
      <c r="BK11" s="464">
        <v>1055.056</v>
      </c>
      <c r="BL11" s="464">
        <f t="shared" si="6"/>
        <v>14401514.4</v>
      </c>
      <c r="BO11" s="466">
        <v>8</v>
      </c>
      <c r="BP11" s="464" t="s">
        <v>794</v>
      </c>
      <c r="BQ11" s="464">
        <v>1000000</v>
      </c>
      <c r="BR11" s="464">
        <f t="shared" si="7"/>
        <v>45000000</v>
      </c>
      <c r="BU11" s="466">
        <v>8</v>
      </c>
      <c r="BV11" s="464" t="s">
        <v>873</v>
      </c>
      <c r="BW11" s="467">
        <v>9.2903039999999994E-8</v>
      </c>
      <c r="BX11" s="464">
        <f t="shared" si="8"/>
        <v>5.9999999999999993E-3</v>
      </c>
      <c r="CA11" s="466">
        <v>8</v>
      </c>
      <c r="CB11" s="464" t="s">
        <v>795</v>
      </c>
      <c r="CC11" s="467">
        <v>0.13368060000000001</v>
      </c>
      <c r="CD11" s="464">
        <f t="shared" si="9"/>
        <v>8.3416694400000004</v>
      </c>
      <c r="CF11" s="458"/>
      <c r="CG11" s="466">
        <v>8</v>
      </c>
      <c r="CH11" s="464" t="s">
        <v>796</v>
      </c>
      <c r="CI11" s="464">
        <v>1</v>
      </c>
      <c r="CJ11" s="464">
        <f t="shared" si="10"/>
        <v>1</v>
      </c>
      <c r="CM11" s="466"/>
      <c r="CN11" s="464"/>
      <c r="CO11" s="464"/>
      <c r="CS11" s="466">
        <v>8</v>
      </c>
      <c r="CT11" s="464" t="s">
        <v>797</v>
      </c>
      <c r="CU11" s="464">
        <v>10.8862176</v>
      </c>
      <c r="CV11" s="464">
        <f t="shared" si="12"/>
        <v>10.8862176</v>
      </c>
      <c r="CY11" s="466"/>
      <c r="CZ11" s="464"/>
      <c r="DA11" s="464"/>
      <c r="DE11" s="466"/>
      <c r="DF11" s="464"/>
      <c r="DG11" s="464"/>
      <c r="DK11" s="466"/>
      <c r="DL11" s="464"/>
      <c r="DM11" s="464"/>
      <c r="DQ11" s="466"/>
      <c r="DR11" s="464"/>
      <c r="DS11" s="464"/>
      <c r="DW11" s="466"/>
      <c r="DX11" s="464"/>
      <c r="DY11" s="464"/>
    </row>
    <row r="12" spans="1:131" ht="15" customHeight="1">
      <c r="A12" s="472"/>
      <c r="B12" s="460"/>
      <c r="C12" s="460"/>
      <c r="D12" s="461">
        <v>3</v>
      </c>
      <c r="E12" s="465">
        <f>VLOOKUP(D12,AK4:AN11,4,FALSE)</f>
        <v>0.37866749999999999</v>
      </c>
      <c r="F12" s="460"/>
      <c r="G12" s="460"/>
      <c r="H12" s="460"/>
      <c r="I12" s="461">
        <v>4</v>
      </c>
      <c r="J12" s="465">
        <f>VLOOKUP(I12,BO4:BR14,4,FALSE)</f>
        <v>99.207000000000008</v>
      </c>
      <c r="K12" s="460"/>
      <c r="L12" s="460"/>
      <c r="M12" s="460"/>
      <c r="N12" s="461">
        <v>6</v>
      </c>
      <c r="O12" s="465">
        <f>VLOOKUP(N12,CS4:CV14,4,FALSE)</f>
        <v>7.5598729999999999E-3</v>
      </c>
      <c r="P12" s="460"/>
      <c r="Q12" s="460"/>
      <c r="R12" s="460"/>
      <c r="S12" s="461">
        <v>5</v>
      </c>
      <c r="T12" s="465">
        <f>VLOOKUP(S12,DW4:DZ8,4,FALSE)</f>
        <v>4186.8</v>
      </c>
      <c r="U12" s="452"/>
      <c r="V12" s="452"/>
      <c r="Y12" s="466">
        <v>9</v>
      </c>
      <c r="Z12" s="464" t="s">
        <v>798</v>
      </c>
      <c r="AA12" s="467">
        <v>304800</v>
      </c>
      <c r="AB12" s="464">
        <f t="shared" si="0"/>
        <v>1737360</v>
      </c>
      <c r="AE12" s="466">
        <v>9</v>
      </c>
      <c r="AF12" s="464" t="s">
        <v>799</v>
      </c>
      <c r="AG12" s="464">
        <v>28.316849999999999</v>
      </c>
      <c r="AH12" s="464">
        <f t="shared" si="1"/>
        <v>158.98732002452448</v>
      </c>
      <c r="AI12" s="466"/>
      <c r="AK12" s="466"/>
      <c r="AL12" s="464"/>
      <c r="AM12" s="464"/>
      <c r="AO12" s="466"/>
      <c r="AQ12" s="466">
        <v>9</v>
      </c>
      <c r="AR12" s="464" t="s">
        <v>874</v>
      </c>
      <c r="AS12" s="464">
        <v>1.699011</v>
      </c>
      <c r="AT12" s="464">
        <f t="shared" si="3"/>
        <v>8.1666634621892911</v>
      </c>
      <c r="AU12" s="466"/>
      <c r="AW12" s="466">
        <v>9</v>
      </c>
      <c r="AX12" s="464" t="s">
        <v>800</v>
      </c>
      <c r="AY12" s="467">
        <v>68.947569999999999</v>
      </c>
      <c r="AZ12" s="464">
        <f t="shared" si="4"/>
        <v>1013.529279</v>
      </c>
      <c r="BA12" s="466"/>
      <c r="BC12" s="466">
        <v>9</v>
      </c>
      <c r="BD12" s="464" t="s">
        <v>801</v>
      </c>
      <c r="BE12" s="467">
        <v>745.69989999999996</v>
      </c>
      <c r="BF12" s="464">
        <f t="shared" si="5"/>
        <v>1342259.8199999998</v>
      </c>
      <c r="BG12" s="466"/>
      <c r="BI12" s="466">
        <v>9</v>
      </c>
      <c r="BJ12" s="464" t="s">
        <v>875</v>
      </c>
      <c r="BK12" s="467">
        <v>5.4039000000000001</v>
      </c>
      <c r="BL12" s="464">
        <f t="shared" si="6"/>
        <v>73763.235000000001</v>
      </c>
      <c r="BM12" s="466"/>
      <c r="BO12" s="466">
        <v>9</v>
      </c>
      <c r="BP12" s="464" t="s">
        <v>802</v>
      </c>
      <c r="BQ12" s="467">
        <v>15432</v>
      </c>
      <c r="BR12" s="464">
        <f t="shared" si="7"/>
        <v>694440</v>
      </c>
      <c r="BS12" s="466"/>
      <c r="BU12" s="466">
        <v>9</v>
      </c>
      <c r="BV12" s="464" t="s">
        <v>803</v>
      </c>
      <c r="BW12" s="467">
        <v>9.2903040000000008E-6</v>
      </c>
      <c r="BX12" s="464">
        <f t="shared" si="8"/>
        <v>0.6</v>
      </c>
      <c r="BY12" s="466"/>
      <c r="CA12" s="466">
        <v>9</v>
      </c>
      <c r="CB12" s="464" t="s">
        <v>804</v>
      </c>
      <c r="CC12" s="467">
        <v>5.6145839999999998</v>
      </c>
      <c r="CD12" s="464">
        <f t="shared" si="9"/>
        <v>350.3500416</v>
      </c>
      <c r="CE12" s="466"/>
      <c r="CF12" s="458"/>
      <c r="CG12" s="466">
        <v>9</v>
      </c>
      <c r="CH12" s="464" t="s">
        <v>805</v>
      </c>
      <c r="CI12" s="464">
        <v>3.6</v>
      </c>
      <c r="CJ12" s="464">
        <f t="shared" si="10"/>
        <v>3.6</v>
      </c>
      <c r="CK12" s="466"/>
      <c r="CM12" s="466"/>
      <c r="CN12" s="464"/>
      <c r="CO12" s="464"/>
      <c r="CQ12" s="466"/>
      <c r="CS12" s="466">
        <v>9</v>
      </c>
      <c r="CT12" s="464" t="s">
        <v>806</v>
      </c>
      <c r="CU12" s="464">
        <f>24*0.0004464286</f>
        <v>1.07142864E-2</v>
      </c>
      <c r="CV12" s="464">
        <f t="shared" si="12"/>
        <v>1.07142864E-2</v>
      </c>
      <c r="CW12" s="466"/>
      <c r="CY12" s="466"/>
      <c r="CZ12" s="464"/>
      <c r="DA12" s="464"/>
      <c r="DC12" s="466"/>
      <c r="DE12" s="466"/>
      <c r="DF12" s="464"/>
      <c r="DG12" s="464"/>
      <c r="DI12" s="466"/>
      <c r="DK12" s="466"/>
      <c r="DL12" s="464"/>
      <c r="DM12" s="464"/>
      <c r="DO12" s="466"/>
      <c r="DQ12" s="466"/>
      <c r="DR12" s="464"/>
      <c r="DS12" s="464"/>
      <c r="DU12" s="466"/>
      <c r="DW12" s="466"/>
      <c r="DX12" s="464"/>
      <c r="DY12" s="464"/>
      <c r="EA12" s="466"/>
    </row>
    <row r="13" spans="1:131" ht="15" customHeight="1">
      <c r="E13" s="469"/>
      <c r="J13" s="469"/>
      <c r="O13" s="469"/>
      <c r="T13" s="469"/>
      <c r="AE13" s="466">
        <v>10</v>
      </c>
      <c r="AF13" s="464" t="s">
        <v>876</v>
      </c>
      <c r="AG13" s="464">
        <v>28316.85</v>
      </c>
      <c r="AH13" s="464">
        <f t="shared" si="1"/>
        <v>158987.3200245245</v>
      </c>
      <c r="AK13" s="466"/>
      <c r="AL13" s="464"/>
      <c r="AM13" s="464"/>
      <c r="AQ13" s="466">
        <v>10</v>
      </c>
      <c r="AR13" s="464" t="s">
        <v>877</v>
      </c>
      <c r="AS13" s="464">
        <v>101.94070000000001</v>
      </c>
      <c r="AT13" s="464">
        <f t="shared" si="3"/>
        <v>489.99999999999994</v>
      </c>
      <c r="AW13" s="466">
        <v>10</v>
      </c>
      <c r="AX13" s="464" t="s">
        <v>878</v>
      </c>
      <c r="AY13" s="467">
        <v>7.0306960000000002E-2</v>
      </c>
      <c r="AZ13" s="464">
        <f t="shared" si="4"/>
        <v>1.033512312</v>
      </c>
      <c r="BC13" s="466">
        <v>10</v>
      </c>
      <c r="BD13" s="464" t="s">
        <v>807</v>
      </c>
      <c r="BE13" s="467">
        <v>745.7</v>
      </c>
      <c r="BF13" s="464">
        <f t="shared" si="5"/>
        <v>1342260</v>
      </c>
      <c r="BI13" s="466">
        <v>10</v>
      </c>
      <c r="BJ13" s="464" t="s">
        <v>808</v>
      </c>
      <c r="BK13" s="467">
        <v>10.412000000000001</v>
      </c>
      <c r="BL13" s="464">
        <f t="shared" si="6"/>
        <v>142123.80000000002</v>
      </c>
      <c r="BO13" s="466">
        <v>10</v>
      </c>
      <c r="BP13" s="464" t="s">
        <v>809</v>
      </c>
      <c r="BQ13" s="467">
        <v>5000</v>
      </c>
      <c r="BR13" s="464">
        <f t="shared" si="7"/>
        <v>225000</v>
      </c>
      <c r="BU13" s="466">
        <v>10</v>
      </c>
      <c r="BV13" s="464" t="s">
        <v>810</v>
      </c>
      <c r="BW13" s="467">
        <v>9.2903039999999999E-4</v>
      </c>
      <c r="BX13" s="464">
        <f t="shared" si="8"/>
        <v>59.999999999999993</v>
      </c>
      <c r="CA13" s="466">
        <v>10</v>
      </c>
      <c r="CB13" s="464" t="s">
        <v>879</v>
      </c>
      <c r="CC13" s="467">
        <v>9.2592590000000006E-3</v>
      </c>
      <c r="CD13" s="464">
        <f t="shared" si="9"/>
        <v>0.57777776160000005</v>
      </c>
      <c r="CF13" s="458"/>
      <c r="CS13" s="466">
        <v>10</v>
      </c>
      <c r="CT13" s="464" t="s">
        <v>811</v>
      </c>
      <c r="CU13" s="464">
        <f>24*0.0005</f>
        <v>1.2E-2</v>
      </c>
      <c r="CV13" s="464">
        <f t="shared" si="12"/>
        <v>1.2E-2</v>
      </c>
      <c r="CY13" s="466"/>
      <c r="CZ13" s="464"/>
      <c r="DA13" s="464"/>
      <c r="DE13" s="466"/>
      <c r="DF13" s="464"/>
      <c r="DG13" s="464"/>
      <c r="DK13" s="466"/>
      <c r="DL13" s="464"/>
      <c r="DM13" s="464"/>
      <c r="DQ13" s="466"/>
      <c r="DR13" s="464"/>
      <c r="DS13" s="464"/>
      <c r="DW13" s="466"/>
      <c r="DX13" s="464"/>
      <c r="DY13" s="464"/>
    </row>
    <row r="14" spans="1:131" ht="15" customHeight="1" thickBot="1">
      <c r="A14" s="470"/>
      <c r="B14" s="454" t="s">
        <v>812</v>
      </c>
      <c r="C14" s="455"/>
      <c r="D14" s="455"/>
      <c r="E14" s="471"/>
      <c r="F14" s="457"/>
      <c r="G14" s="454" t="s">
        <v>813</v>
      </c>
      <c r="H14" s="455"/>
      <c r="I14" s="455"/>
      <c r="J14" s="471"/>
      <c r="K14" s="457"/>
      <c r="L14" s="454" t="s">
        <v>814</v>
      </c>
      <c r="M14" s="455"/>
      <c r="N14" s="455"/>
      <c r="O14" s="471"/>
      <c r="P14" s="474"/>
      <c r="Q14" s="474"/>
      <c r="R14" s="474"/>
      <c r="S14" s="474"/>
      <c r="T14" s="475"/>
      <c r="U14" s="452"/>
      <c r="V14" s="452"/>
      <c r="AE14" s="466">
        <v>11</v>
      </c>
      <c r="AF14" s="464" t="s">
        <v>815</v>
      </c>
      <c r="AG14" s="467">
        <v>28316.85</v>
      </c>
      <c r="AH14" s="464">
        <f t="shared" si="1"/>
        <v>158987.3200245245</v>
      </c>
      <c r="AK14" s="466"/>
      <c r="AL14" s="464"/>
      <c r="AM14" s="467"/>
      <c r="AQ14" s="466">
        <v>11</v>
      </c>
      <c r="AR14" s="464" t="s">
        <v>816</v>
      </c>
      <c r="AS14" s="467">
        <v>28.316849999999999</v>
      </c>
      <c r="AT14" s="464">
        <f t="shared" si="3"/>
        <v>136.11105770315484</v>
      </c>
      <c r="AW14" s="466">
        <v>11</v>
      </c>
      <c r="AX14" s="464" t="s">
        <v>817</v>
      </c>
      <c r="AY14" s="467">
        <v>6.8947570000000002</v>
      </c>
      <c r="AZ14" s="464">
        <f t="shared" si="4"/>
        <v>101.3529279</v>
      </c>
      <c r="BC14" s="466">
        <v>11</v>
      </c>
      <c r="BD14" s="464" t="s">
        <v>880</v>
      </c>
      <c r="BE14" s="467">
        <v>550</v>
      </c>
      <c r="BF14" s="464">
        <f t="shared" si="5"/>
        <v>990000</v>
      </c>
      <c r="BI14" s="466"/>
      <c r="BJ14" s="464"/>
      <c r="BK14" s="467"/>
      <c r="BO14" s="466">
        <v>11</v>
      </c>
      <c r="BP14" s="464" t="s">
        <v>818</v>
      </c>
      <c r="BQ14" s="467">
        <v>6.8521799999999994E-2</v>
      </c>
      <c r="BR14" s="464">
        <f t="shared" si="7"/>
        <v>3.0834809999999999</v>
      </c>
      <c r="BU14" s="466">
        <v>11</v>
      </c>
      <c r="BV14" s="464" t="s">
        <v>819</v>
      </c>
      <c r="BW14" s="467">
        <v>2.295684E-5</v>
      </c>
      <c r="BX14" s="464">
        <f t="shared" si="8"/>
        <v>1.4826322152644305</v>
      </c>
      <c r="CA14" s="466">
        <v>11</v>
      </c>
      <c r="CB14" s="464" t="s">
        <v>820</v>
      </c>
      <c r="CC14" s="467">
        <v>2.1388889999999998</v>
      </c>
      <c r="CD14" s="464">
        <f t="shared" si="9"/>
        <v>133.46667359999998</v>
      </c>
      <c r="CF14" s="458"/>
      <c r="CG14" s="466"/>
      <c r="CH14" s="464"/>
      <c r="CI14" s="467"/>
      <c r="CM14" s="466"/>
      <c r="CN14" s="464"/>
      <c r="CO14" s="467"/>
      <c r="CS14" s="466">
        <v>11</v>
      </c>
      <c r="CT14" s="464" t="s">
        <v>821</v>
      </c>
      <c r="CU14" s="467">
        <f>24*0.0004535924</f>
        <v>1.0886217599999999E-2</v>
      </c>
      <c r="CV14" s="464">
        <f t="shared" si="12"/>
        <v>1.0886217599999999E-2</v>
      </c>
      <c r="CY14" s="466"/>
      <c r="CZ14" s="464"/>
      <c r="DA14" s="467"/>
      <c r="DE14" s="466"/>
      <c r="DF14" s="464"/>
      <c r="DG14" s="467"/>
      <c r="DK14" s="466"/>
      <c r="DL14" s="464"/>
      <c r="DM14" s="467"/>
      <c r="DQ14" s="466"/>
      <c r="DR14" s="464"/>
      <c r="DS14" s="467"/>
      <c r="DW14" s="466"/>
      <c r="DX14" s="464"/>
      <c r="DY14" s="467"/>
    </row>
    <row r="15" spans="1:131" ht="15" customHeight="1" thickBot="1">
      <c r="A15" s="472"/>
      <c r="B15" s="460"/>
      <c r="C15" s="460"/>
      <c r="D15" s="461">
        <v>10</v>
      </c>
      <c r="E15" s="473">
        <v>490</v>
      </c>
      <c r="F15" s="460"/>
      <c r="G15" s="460"/>
      <c r="H15" s="460"/>
      <c r="I15" s="461">
        <v>7</v>
      </c>
      <c r="J15" s="473">
        <v>62.4</v>
      </c>
      <c r="K15" s="460"/>
      <c r="L15" s="460"/>
      <c r="M15" s="460"/>
      <c r="N15" s="461">
        <v>1</v>
      </c>
      <c r="O15" s="473">
        <v>1</v>
      </c>
      <c r="P15" s="460"/>
      <c r="Q15" s="460"/>
      <c r="R15" s="460"/>
      <c r="S15" s="460"/>
      <c r="T15" s="476"/>
      <c r="U15" s="452"/>
      <c r="V15" s="452"/>
      <c r="AE15" s="466"/>
      <c r="AF15" s="464"/>
      <c r="AG15" s="467"/>
      <c r="AK15" s="466"/>
      <c r="AL15" s="464"/>
      <c r="AM15" s="467"/>
      <c r="AQ15" s="466">
        <v>12</v>
      </c>
      <c r="AR15" s="464" t="s">
        <v>822</v>
      </c>
      <c r="AS15" s="467">
        <v>1699.011</v>
      </c>
      <c r="AT15" s="464">
        <f t="shared" si="3"/>
        <v>8166.6634621892908</v>
      </c>
      <c r="AW15" s="466">
        <v>12</v>
      </c>
      <c r="AX15" s="464" t="s">
        <v>823</v>
      </c>
      <c r="AY15" s="467">
        <v>6894.7569999999996</v>
      </c>
      <c r="AZ15" s="464">
        <f t="shared" si="4"/>
        <v>101352.9279</v>
      </c>
      <c r="BC15" s="466">
        <v>12</v>
      </c>
      <c r="BD15" s="464" t="s">
        <v>881</v>
      </c>
      <c r="BE15" s="467">
        <v>33000</v>
      </c>
      <c r="BF15" s="464">
        <f t="shared" si="5"/>
        <v>59400000</v>
      </c>
      <c r="BI15" s="466"/>
      <c r="BJ15" s="464"/>
      <c r="BK15" s="467"/>
      <c r="BO15" s="466"/>
      <c r="BP15" s="464"/>
      <c r="BQ15" s="467"/>
      <c r="BU15" s="466"/>
      <c r="BV15" s="464"/>
      <c r="BW15" s="467"/>
      <c r="CA15" s="466">
        <v>12</v>
      </c>
      <c r="CB15" s="464" t="s">
        <v>824</v>
      </c>
      <c r="CC15" s="467">
        <v>1.6018460000000002E-2</v>
      </c>
      <c r="CD15" s="464">
        <f t="shared" si="9"/>
        <v>0.99955190400000005</v>
      </c>
      <c r="CF15" s="458"/>
      <c r="CG15" s="466"/>
      <c r="CH15" s="464"/>
      <c r="CI15" s="464"/>
      <c r="CM15" s="466"/>
      <c r="CN15" s="464"/>
      <c r="CO15" s="464"/>
      <c r="CS15" s="466"/>
      <c r="CT15" s="464"/>
      <c r="CU15" s="464"/>
      <c r="CY15" s="466"/>
      <c r="CZ15" s="464"/>
      <c r="DA15" s="464"/>
      <c r="DE15" s="466"/>
      <c r="DF15" s="464"/>
      <c r="DG15" s="464"/>
      <c r="DK15" s="466"/>
      <c r="DL15" s="464"/>
      <c r="DM15" s="464"/>
      <c r="DQ15" s="466"/>
      <c r="DR15" s="464"/>
      <c r="DS15" s="464"/>
      <c r="DW15" s="466"/>
      <c r="DX15" s="464"/>
      <c r="DY15" s="464"/>
    </row>
    <row r="16" spans="1:131" ht="15" customHeight="1">
      <c r="A16" s="472"/>
      <c r="B16" s="460"/>
      <c r="C16" s="460"/>
      <c r="D16" s="461">
        <v>2</v>
      </c>
      <c r="E16" s="465">
        <f>VLOOKUP(D16,AQ4:AT17,4,FALSE)</f>
        <v>288.4029636837887</v>
      </c>
      <c r="F16" s="460"/>
      <c r="G16" s="460"/>
      <c r="H16" s="460"/>
      <c r="I16" s="461">
        <v>12</v>
      </c>
      <c r="J16" s="465">
        <f>VLOOKUP(I16,CA4:CD15,4,FALSE)</f>
        <v>0.99955190400000005</v>
      </c>
      <c r="K16" s="460"/>
      <c r="L16" s="460"/>
      <c r="M16" s="460"/>
      <c r="N16" s="461">
        <v>3</v>
      </c>
      <c r="O16" s="465">
        <f>VLOOKUP(N16,CY4:DB8,4,FALSE)</f>
        <v>5.6782640000000004E-4</v>
      </c>
      <c r="P16" s="460"/>
      <c r="Q16" s="460"/>
      <c r="R16" s="460"/>
      <c r="S16" s="460"/>
      <c r="T16" s="477"/>
      <c r="U16" s="452"/>
      <c r="V16" s="452"/>
      <c r="Y16" s="451"/>
      <c r="AB16" s="451"/>
      <c r="AC16" s="451"/>
      <c r="AE16" s="466"/>
      <c r="AF16" s="464"/>
      <c r="AG16" s="467"/>
      <c r="AK16" s="466"/>
      <c r="AL16" s="464"/>
      <c r="AM16" s="467"/>
      <c r="AQ16" s="466">
        <v>13</v>
      </c>
      <c r="AR16" s="464" t="s">
        <v>825</v>
      </c>
      <c r="AS16" s="467">
        <v>101940.7</v>
      </c>
      <c r="AT16" s="464">
        <f t="shared" si="3"/>
        <v>489999.99999999994</v>
      </c>
      <c r="AW16" s="451"/>
      <c r="AZ16" s="451"/>
      <c r="BC16" s="451"/>
      <c r="BF16" s="451"/>
      <c r="BI16" s="451"/>
      <c r="BL16" s="451"/>
      <c r="BO16" s="451"/>
      <c r="BR16" s="451"/>
      <c r="BU16" s="451"/>
      <c r="BX16" s="451"/>
      <c r="CA16" s="451"/>
      <c r="CB16" s="464"/>
      <c r="CD16" s="451"/>
      <c r="CF16" s="458"/>
      <c r="CG16" s="466"/>
      <c r="CH16" s="464"/>
      <c r="CI16" s="464"/>
      <c r="CM16" s="466"/>
      <c r="CN16" s="464"/>
      <c r="CO16" s="464"/>
      <c r="CS16" s="466"/>
      <c r="CT16" s="464"/>
      <c r="CU16" s="464"/>
      <c r="CY16" s="466"/>
      <c r="CZ16" s="464"/>
      <c r="DA16" s="464"/>
      <c r="DE16" s="466"/>
      <c r="DF16" s="464"/>
      <c r="DG16" s="464"/>
      <c r="DK16" s="466"/>
      <c r="DL16" s="464"/>
      <c r="DM16" s="464"/>
      <c r="DQ16" s="466"/>
      <c r="DR16" s="464"/>
      <c r="DS16" s="464"/>
      <c r="DW16" s="466"/>
      <c r="DX16" s="464"/>
      <c r="DY16" s="464"/>
    </row>
    <row r="17" spans="1:129" ht="15" customHeight="1">
      <c r="E17" s="469"/>
      <c r="J17" s="469"/>
      <c r="O17" s="469"/>
      <c r="T17" s="478"/>
      <c r="Y17" s="451"/>
      <c r="AB17" s="451"/>
      <c r="AC17" s="451"/>
      <c r="AE17" s="466"/>
      <c r="AF17" s="464"/>
      <c r="AG17" s="464"/>
      <c r="AK17" s="466"/>
      <c r="AL17" s="464"/>
      <c r="AM17" s="464"/>
      <c r="AQ17" s="466">
        <v>14</v>
      </c>
      <c r="AR17" s="464" t="s">
        <v>826</v>
      </c>
      <c r="AS17" s="464">
        <v>2446576.7999999998</v>
      </c>
      <c r="AT17" s="464">
        <f t="shared" si="3"/>
        <v>11759999.999999998</v>
      </c>
      <c r="AW17" s="466"/>
      <c r="BC17" s="466"/>
      <c r="BI17" s="466"/>
      <c r="BO17" s="466"/>
      <c r="BU17" s="466"/>
      <c r="CA17" s="466"/>
      <c r="CB17" s="464"/>
      <c r="CF17" s="458"/>
      <c r="CG17" s="466"/>
      <c r="CH17" s="464"/>
      <c r="CI17" s="464"/>
      <c r="CM17" s="466"/>
      <c r="CN17" s="464"/>
      <c r="CO17" s="464"/>
      <c r="CS17" s="466"/>
      <c r="CT17" s="464"/>
      <c r="CU17" s="464"/>
      <c r="CY17" s="466"/>
      <c r="CZ17" s="464"/>
      <c r="DA17" s="464"/>
      <c r="DE17" s="466"/>
      <c r="DF17" s="464"/>
      <c r="DG17" s="464"/>
      <c r="DK17" s="466"/>
      <c r="DL17" s="464"/>
      <c r="DM17" s="464"/>
      <c r="DQ17" s="466"/>
      <c r="DR17" s="464"/>
      <c r="DS17" s="464"/>
      <c r="DW17" s="466"/>
      <c r="DX17" s="464"/>
      <c r="DY17" s="464"/>
    </row>
    <row r="18" spans="1:129" ht="15" customHeight="1" thickBot="1">
      <c r="A18" s="470"/>
      <c r="B18" s="454" t="s">
        <v>692</v>
      </c>
      <c r="C18" s="455"/>
      <c r="D18" s="455"/>
      <c r="E18" s="471"/>
      <c r="F18" s="457"/>
      <c r="G18" s="454" t="s">
        <v>827</v>
      </c>
      <c r="H18" s="455"/>
      <c r="I18" s="455"/>
      <c r="J18" s="471"/>
      <c r="K18" s="457"/>
      <c r="L18" s="454" t="s">
        <v>828</v>
      </c>
      <c r="M18" s="455"/>
      <c r="N18" s="455"/>
      <c r="O18" s="471"/>
      <c r="P18" s="474"/>
      <c r="R18" s="474"/>
      <c r="S18" s="474"/>
      <c r="T18" s="475"/>
      <c r="U18" s="452"/>
      <c r="V18" s="452"/>
      <c r="Y18" s="451"/>
      <c r="AB18" s="451"/>
      <c r="AC18" s="451"/>
      <c r="AE18" s="466"/>
      <c r="AF18" s="464"/>
      <c r="AG18" s="467"/>
      <c r="AK18" s="466"/>
      <c r="AL18" s="464"/>
      <c r="AM18" s="467"/>
      <c r="AQ18" s="466"/>
      <c r="AR18" s="464"/>
      <c r="AS18" s="467"/>
      <c r="AW18" s="466"/>
      <c r="AX18" s="464"/>
      <c r="AY18" s="467"/>
      <c r="BC18" s="466"/>
      <c r="BD18" s="464"/>
      <c r="BE18" s="467"/>
      <c r="BI18" s="466"/>
      <c r="BJ18" s="464"/>
      <c r="BK18" s="467"/>
      <c r="BO18" s="466"/>
      <c r="BP18" s="464"/>
      <c r="BQ18" s="467"/>
      <c r="BU18" s="466"/>
      <c r="BV18" s="464"/>
      <c r="BW18" s="467"/>
      <c r="CA18" s="466"/>
      <c r="CB18" s="464"/>
      <c r="CC18" s="467"/>
      <c r="CG18" s="466"/>
      <c r="CH18" s="464"/>
      <c r="CI18" s="467"/>
      <c r="CM18" s="466"/>
      <c r="CN18" s="464"/>
      <c r="CO18" s="467"/>
      <c r="CS18" s="466"/>
      <c r="CT18" s="464"/>
      <c r="CU18" s="467"/>
      <c r="CY18" s="466"/>
      <c r="CZ18" s="464"/>
      <c r="DA18" s="467"/>
      <c r="DE18" s="466"/>
      <c r="DF18" s="464"/>
      <c r="DG18" s="467"/>
      <c r="DK18" s="466"/>
      <c r="DL18" s="464"/>
      <c r="DM18" s="467"/>
      <c r="DQ18" s="466"/>
      <c r="DR18" s="464"/>
      <c r="DS18" s="467"/>
      <c r="DW18" s="466"/>
      <c r="DX18" s="464"/>
      <c r="DY18" s="467"/>
    </row>
    <row r="19" spans="1:129" ht="15" customHeight="1" thickBot="1">
      <c r="A19" s="472"/>
      <c r="B19" s="460"/>
      <c r="C19" s="460"/>
      <c r="D19" s="461">
        <v>1</v>
      </c>
      <c r="E19" s="473">
        <v>14.7</v>
      </c>
      <c r="F19" s="460"/>
      <c r="G19" s="460"/>
      <c r="H19" s="460"/>
      <c r="I19" s="461">
        <v>7</v>
      </c>
      <c r="J19" s="473">
        <v>6000</v>
      </c>
      <c r="K19" s="460"/>
      <c r="L19" s="460"/>
      <c r="M19" s="460"/>
      <c r="N19" s="461">
        <v>1</v>
      </c>
      <c r="O19" s="473">
        <v>1</v>
      </c>
      <c r="P19" s="460"/>
      <c r="Q19" s="571" t="s">
        <v>829</v>
      </c>
      <c r="R19" s="572"/>
      <c r="S19" s="572"/>
      <c r="T19" s="572"/>
      <c r="U19" s="452"/>
      <c r="V19" s="452"/>
      <c r="Y19" s="451"/>
      <c r="AB19" s="451"/>
      <c r="AC19" s="451"/>
      <c r="AE19" s="451"/>
      <c r="AI19" s="451"/>
      <c r="AK19" s="451"/>
      <c r="AN19" s="451"/>
      <c r="AO19" s="451"/>
      <c r="AQ19" s="451"/>
      <c r="AT19" s="451"/>
      <c r="AU19" s="451"/>
      <c r="AW19" s="451"/>
      <c r="AZ19" s="451"/>
      <c r="BA19" s="451"/>
      <c r="BC19" s="451"/>
      <c r="BF19" s="451"/>
      <c r="BG19" s="451"/>
      <c r="BI19" s="451"/>
      <c r="BL19" s="451"/>
      <c r="BM19" s="451"/>
      <c r="BO19" s="466"/>
      <c r="BP19" s="464"/>
      <c r="BQ19" s="467"/>
      <c r="BU19" s="466"/>
      <c r="BV19" s="464"/>
      <c r="BW19" s="467"/>
      <c r="CA19" s="466"/>
      <c r="CB19" s="464"/>
      <c r="CC19" s="467"/>
      <c r="CG19" s="466"/>
      <c r="CH19" s="464"/>
      <c r="CI19" s="467"/>
      <c r="CM19" s="466"/>
      <c r="CN19" s="464"/>
      <c r="CO19" s="467"/>
      <c r="CS19" s="466"/>
      <c r="CT19" s="464"/>
      <c r="CU19" s="467"/>
      <c r="CY19" s="466"/>
      <c r="CZ19" s="464"/>
      <c r="DA19" s="467"/>
      <c r="DE19" s="466"/>
      <c r="DF19" s="464"/>
      <c r="DG19" s="467"/>
      <c r="DK19" s="466"/>
      <c r="DL19" s="464"/>
      <c r="DM19" s="467"/>
      <c r="DQ19" s="466"/>
      <c r="DR19" s="464"/>
      <c r="DS19" s="467"/>
      <c r="DW19" s="466"/>
      <c r="DX19" s="464"/>
      <c r="DY19" s="467"/>
    </row>
    <row r="20" spans="1:129" ht="15" customHeight="1">
      <c r="A20" s="472"/>
      <c r="B20" s="460"/>
      <c r="C20" s="460"/>
      <c r="D20" s="461">
        <v>10</v>
      </c>
      <c r="E20" s="465">
        <f>VLOOKUP(D20,AW4:AZ15,4,FALSE)</f>
        <v>1.033512312</v>
      </c>
      <c r="F20" s="460"/>
      <c r="G20" s="460"/>
      <c r="H20" s="460"/>
      <c r="I20" s="461">
        <v>1</v>
      </c>
      <c r="J20" s="465">
        <f>VLOOKUP(I20,BU4:BX14,4,FALSE)</f>
        <v>64583.462500258327</v>
      </c>
      <c r="K20" s="460"/>
      <c r="L20" s="460"/>
      <c r="M20" s="460"/>
      <c r="N20" s="461">
        <v>3</v>
      </c>
      <c r="O20" s="465">
        <f>VLOOKUP(N20,DE4:DH8,4,FALSE)</f>
        <v>1.7307349999999999E-2</v>
      </c>
      <c r="P20" s="460"/>
      <c r="Q20" s="479" t="s">
        <v>830</v>
      </c>
      <c r="T20" s="477"/>
      <c r="U20" s="452"/>
      <c r="V20" s="452"/>
      <c r="Y20" s="451"/>
      <c r="AB20" s="451"/>
      <c r="AC20" s="451"/>
      <c r="AE20" s="451"/>
      <c r="AI20" s="451"/>
      <c r="AK20" s="451"/>
      <c r="AN20" s="451"/>
      <c r="AO20" s="451"/>
      <c r="AQ20" s="451"/>
      <c r="AT20" s="451"/>
      <c r="AU20" s="451"/>
      <c r="AW20" s="451"/>
      <c r="AZ20" s="451"/>
      <c r="BA20" s="451"/>
      <c r="BC20" s="451"/>
      <c r="BF20" s="451"/>
      <c r="BG20" s="451"/>
      <c r="BI20" s="451"/>
      <c r="BL20" s="451"/>
      <c r="BM20" s="451"/>
      <c r="BO20" s="466"/>
      <c r="BP20" s="464"/>
      <c r="BQ20" s="467"/>
      <c r="BU20" s="466"/>
      <c r="BV20" s="464"/>
      <c r="BW20" s="467"/>
      <c r="CA20" s="466"/>
      <c r="CB20" s="464"/>
      <c r="CC20" s="467"/>
      <c r="CG20" s="466"/>
      <c r="CH20" s="464"/>
      <c r="CI20" s="467"/>
      <c r="CM20" s="466"/>
      <c r="CN20" s="464"/>
      <c r="CO20" s="467"/>
      <c r="CS20" s="466"/>
      <c r="CT20" s="464"/>
      <c r="CU20" s="467"/>
      <c r="CY20" s="466"/>
      <c r="CZ20" s="464"/>
      <c r="DA20" s="467"/>
      <c r="DE20" s="466"/>
      <c r="DF20" s="464"/>
      <c r="DG20" s="467"/>
      <c r="DK20" s="466"/>
      <c r="DL20" s="464"/>
      <c r="DM20" s="467"/>
      <c r="DQ20" s="466"/>
      <c r="DR20" s="464"/>
      <c r="DS20" s="467"/>
      <c r="DW20" s="466"/>
      <c r="DX20" s="464"/>
      <c r="DY20" s="467"/>
    </row>
    <row r="21" spans="1:129" ht="15" customHeight="1">
      <c r="Q21" s="479" t="s">
        <v>831</v>
      </c>
      <c r="Y21" s="451"/>
      <c r="AB21" s="451"/>
      <c r="AC21" s="451"/>
      <c r="AE21" s="466"/>
      <c r="AF21" s="464"/>
      <c r="AG21" s="467"/>
      <c r="AK21" s="466"/>
      <c r="AL21" s="464"/>
      <c r="AM21" s="467"/>
      <c r="AQ21" s="466"/>
      <c r="AR21" s="464"/>
      <c r="AS21" s="467"/>
      <c r="AW21" s="466"/>
      <c r="AX21" s="464"/>
      <c r="AY21" s="467"/>
      <c r="BC21" s="466"/>
      <c r="BD21" s="464"/>
      <c r="BE21" s="467"/>
      <c r="BI21" s="466"/>
      <c r="BJ21" s="464"/>
      <c r="BK21" s="467"/>
      <c r="BO21" s="466"/>
      <c r="BP21" s="464"/>
      <c r="BQ21" s="467"/>
      <c r="BU21" s="466"/>
      <c r="BV21" s="464"/>
      <c r="BW21" s="467"/>
      <c r="CA21" s="466"/>
      <c r="CB21" s="464"/>
      <c r="CC21" s="467"/>
      <c r="CG21" s="466"/>
      <c r="CH21" s="464"/>
      <c r="CI21" s="467"/>
      <c r="CM21" s="466"/>
      <c r="CN21" s="464"/>
      <c r="CO21" s="467"/>
      <c r="CS21" s="466"/>
      <c r="CT21" s="464"/>
      <c r="CU21" s="467"/>
      <c r="CY21" s="466"/>
      <c r="CZ21" s="464"/>
      <c r="DA21" s="467"/>
      <c r="DE21" s="466"/>
      <c r="DF21" s="464"/>
      <c r="DG21" s="467"/>
      <c r="DK21" s="466"/>
      <c r="DL21" s="464"/>
      <c r="DM21" s="467"/>
      <c r="DQ21" s="466"/>
      <c r="DR21" s="464"/>
      <c r="DS21" s="467"/>
      <c r="DW21" s="466"/>
      <c r="DX21" s="464"/>
      <c r="DY21" s="467"/>
    </row>
    <row r="22" spans="1:129" ht="15" customHeight="1">
      <c r="Q22" s="479" t="s">
        <v>832</v>
      </c>
    </row>
    <row r="23" spans="1:129" ht="15" customHeight="1">
      <c r="B23" s="480" t="s">
        <v>833</v>
      </c>
    </row>
  </sheetData>
  <sheetProtection sheet="1" objects="1" scenarios="1" selectLockedCells="1"/>
  <mergeCells count="1">
    <mergeCell ref="Q19:T19"/>
  </mergeCells>
  <phoneticPr fontId="2" type="noConversion"/>
  <hyperlinks>
    <hyperlink ref="Q19:T19" r:id="rId1" display="PROCESS ENGINEERING TOOLKIT" xr:uid="{00000000-0004-0000-0000-000000000000}"/>
  </hyperlinks>
  <pageMargins left="0.17" right="0.25" top="1.34" bottom="1" header="0.5" footer="0.5"/>
  <pageSetup scale="11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5" name="Drop Down 1">
              <controlPr defaultSize="0" autoFill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6" name="Drop Down 2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152400</xdr:rowOff>
                  </from>
                  <to>
                    <xdr:col>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7" name="Drop Down 3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152400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8" name="Drop Down 4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9" name="Drop Down 5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0" name="Drop Down 6">
              <controlPr defaultSize="0" autoFill="0" autoLine="0" autoPict="0">
                <anchor moveWithCells="1">
                  <from>
                    <xdr:col>6</xdr:col>
                    <xdr:colOff>0</xdr:colOff>
                    <xdr:row>1</xdr:row>
                    <xdr:rowOff>152400</xdr:rowOff>
                  </from>
                  <to>
                    <xdr:col>9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1" name="Drop Down 7">
              <controlPr defaultSize="0" autoFill="0" autoLine="0" autoPict="0">
                <anchor moveWithCells="1">
                  <from>
                    <xdr:col>6</xdr:col>
                    <xdr:colOff>0</xdr:colOff>
                    <xdr:row>5</xdr:row>
                    <xdr:rowOff>152400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2" name="Drop Down 8">
              <controlPr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3" name="Drop Down 9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152400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4" name="Drop Down 10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5" name="Drop Down 11">
              <controlPr defaultSize="0" autoFill="0" autoLine="0" autoPict="0">
                <anchor moveWithCells="1">
                  <from>
                    <xdr:col>11</xdr:col>
                    <xdr:colOff>0</xdr:colOff>
                    <xdr:row>2</xdr:row>
                    <xdr:rowOff>0</xdr:rowOff>
                  </from>
                  <to>
                    <xdr:col>12</xdr:col>
                    <xdr:colOff>487680</xdr:colOff>
                    <xdr:row>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6" name="Drop Down 12">
              <controlPr defaultSize="0" autoFill="0" autoLine="0" autoPict="0">
                <anchor moveWithCells="1">
                  <from>
                    <xdr:col>11</xdr:col>
                    <xdr:colOff>0</xdr:colOff>
                    <xdr:row>2</xdr:row>
                    <xdr:rowOff>0</xdr:rowOff>
                  </from>
                  <to>
                    <xdr:col>13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7" name="Drop Down 13">
              <controlPr defaultSize="0" autoFill="0" autoLine="0" autoPict="0">
                <anchor moveWithCells="1">
                  <from>
                    <xdr:col>16</xdr:col>
                    <xdr:colOff>0</xdr:colOff>
                    <xdr:row>6</xdr:row>
                    <xdr:rowOff>0</xdr:rowOff>
                  </from>
                  <to>
                    <xdr:col>19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8" name="Drop Down 14">
              <controlPr defaultSize="0" autoFill="0" autoLine="0" autoPict="0">
                <anchor moveWithCells="1">
                  <from>
                    <xdr:col>16</xdr:col>
                    <xdr:colOff>0</xdr:colOff>
                    <xdr:row>9</xdr:row>
                    <xdr:rowOff>152400</xdr:rowOff>
                  </from>
                  <to>
                    <xdr:col>19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9" name="Drop Down 15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20" name="Drop Down 16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152400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1" name="Drop Down 17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2" name="Drop Down 18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152400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3" name="Drop Down 1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4" name="Drop Down 20">
              <controlPr defaultSize="0" autoFill="0" autoLine="0" autoPict="0">
                <anchor moveWithCells="1">
                  <from>
                    <xdr:col>6</xdr:col>
                    <xdr:colOff>0</xdr:colOff>
                    <xdr:row>2</xdr:row>
                    <xdr:rowOff>152400</xdr:rowOff>
                  </from>
                  <to>
                    <xdr:col>9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5" name="Drop Down 21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6" name="Drop Down 22">
              <controlPr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152400</xdr:rowOff>
                  </from>
                  <to>
                    <xdr:col>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7" name="Drop Down 23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152400</xdr:rowOff>
                  </from>
                  <to>
                    <xdr:col>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8" name="Drop Down 24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9" name="Drop Down 25">
              <controlPr defaultSize="0" autoFill="0" autoLine="0" autoPict="0">
                <anchor moveWithCells="1">
                  <from>
                    <xdr:col>11</xdr:col>
                    <xdr:colOff>0</xdr:colOff>
                    <xdr:row>3</xdr:row>
                    <xdr:rowOff>0</xdr:rowOff>
                  </from>
                  <to>
                    <xdr:col>14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30" name="Drop Down 26">
              <controlPr defaultSize="0" autoFill="0" autoLine="0" autoPict="0">
                <anchor moveWithCells="1">
                  <from>
                    <xdr:col>11</xdr:col>
                    <xdr:colOff>0</xdr:colOff>
                    <xdr:row>7</xdr:row>
                    <xdr:rowOff>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31" name="Drop Down 27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152400</xdr:rowOff>
                  </from>
                  <to>
                    <xdr:col>14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2" name="Drop Down 28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152400</xdr:rowOff>
                  </from>
                  <to>
                    <xdr:col>14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3" name="Drop Down 29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152400</xdr:rowOff>
                  </from>
                  <to>
                    <xdr:col>14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4" name="Drop Down 30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0</xdr:rowOff>
                  </from>
                  <to>
                    <xdr:col>19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5" name="Drop Down 31">
              <controlPr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152400</xdr:rowOff>
                  </from>
                  <to>
                    <xdr:col>19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6" name="Drop Down 32">
              <controlPr defaultSize="0" autoFill="0" autoLine="0" autoPict="0">
                <anchor moveWithCells="1">
                  <from>
                    <xdr:col>11</xdr:col>
                    <xdr:colOff>0</xdr:colOff>
                    <xdr:row>6</xdr:row>
                    <xdr:rowOff>0</xdr:rowOff>
                  </from>
                  <to>
                    <xdr:col>14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7" name="Drop Down 33">
              <controlPr defaultSize="0" autoFill="0" autoLine="0" autoPict="0">
                <anchor moveWithCells="1">
                  <from>
                    <xdr:col>11</xdr:col>
                    <xdr:colOff>0</xdr:colOff>
                    <xdr:row>9</xdr:row>
                    <xdr:rowOff>152400</xdr:rowOff>
                  </from>
                  <to>
                    <xdr:col>14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8" name="Drop Down 34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0</xdr:rowOff>
                  </from>
                  <to>
                    <xdr:col>14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9" name="Drop Down 35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40" name="Drop Down 36">
              <controlPr defaultSize="0" autoFill="0" autoLine="0" autoPict="0">
                <anchor moveWithCells="1">
                  <from>
                    <xdr:col>16</xdr:col>
                    <xdr:colOff>0</xdr:colOff>
                    <xdr:row>2</xdr:row>
                    <xdr:rowOff>152400</xdr:rowOff>
                  </from>
                  <to>
                    <xdr:col>19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41" name="Drop Down 37">
              <controlPr defaultSize="0" autoFill="0" autoLine="0" autoPict="0">
                <anchor moveWithCells="1">
                  <from>
                    <xdr:col>16</xdr:col>
                    <xdr:colOff>0</xdr:colOff>
                    <xdr:row>1</xdr:row>
                    <xdr:rowOff>152400</xdr:rowOff>
                  </from>
                  <to>
                    <xdr:col>19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8">
    <tabColor indexed="45"/>
  </sheetPr>
  <dimension ref="B1:O28"/>
  <sheetViews>
    <sheetView showGridLines="0" showRowColHeaders="0" zoomScale="74" workbookViewId="0">
      <selection activeCell="P27" sqref="P27"/>
    </sheetView>
  </sheetViews>
  <sheetFormatPr defaultColWidth="9.81640625" defaultRowHeight="15"/>
  <cols>
    <col min="1" max="1" width="2.81640625" customWidth="1"/>
    <col min="2" max="2" width="4.90625" customWidth="1"/>
    <col min="3" max="3" width="10.81640625" customWidth="1"/>
    <col min="4" max="4" width="7.1796875" customWidth="1"/>
    <col min="5" max="5" width="8.36328125" customWidth="1"/>
    <col min="6" max="9" width="7.81640625" customWidth="1"/>
    <col min="10" max="10" width="2.81640625" customWidth="1"/>
    <col min="11" max="11" width="8" customWidth="1"/>
    <col min="12" max="12" width="8.1796875" customWidth="1"/>
    <col min="13" max="13" width="2.81640625" customWidth="1"/>
    <col min="15" max="15" width="8.81640625" customWidth="1"/>
  </cols>
  <sheetData>
    <row r="1" spans="2:15" ht="22.8">
      <c r="B1" s="58" t="s">
        <v>121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O1" s="179"/>
    </row>
    <row r="2" spans="2:15" ht="15.6">
      <c r="B2" s="192" t="s">
        <v>122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62"/>
      <c r="O2" s="179"/>
    </row>
    <row r="3" spans="2:15" ht="15.6">
      <c r="B3" s="192"/>
      <c r="C3" s="11"/>
      <c r="D3" s="11"/>
      <c r="E3" s="11"/>
      <c r="F3" s="11"/>
      <c r="G3" s="11"/>
      <c r="H3" s="11"/>
      <c r="I3" s="11"/>
      <c r="J3" s="11"/>
      <c r="K3" s="11"/>
      <c r="L3" s="11"/>
      <c r="M3" s="62"/>
      <c r="O3" s="179"/>
    </row>
    <row r="4" spans="2:15" ht="14.1" customHeight="1">
      <c r="B4" s="63"/>
      <c r="C4" s="18"/>
      <c r="D4" s="18"/>
      <c r="E4" s="18"/>
      <c r="F4" s="357"/>
      <c r="G4" s="358"/>
      <c r="H4" s="359" t="s">
        <v>123</v>
      </c>
      <c r="I4" s="360"/>
      <c r="J4" s="18"/>
      <c r="K4" s="188" t="s">
        <v>124</v>
      </c>
      <c r="L4" s="189" t="s">
        <v>124</v>
      </c>
      <c r="M4" s="65"/>
      <c r="O4" s="179"/>
    </row>
    <row r="5" spans="2:15" ht="15.6">
      <c r="B5" s="63"/>
      <c r="C5" s="18"/>
      <c r="D5" s="185" t="s">
        <v>125</v>
      </c>
      <c r="E5" s="18"/>
      <c r="F5" s="183" t="s">
        <v>126</v>
      </c>
      <c r="G5" s="182"/>
      <c r="H5" s="344" t="s">
        <v>126</v>
      </c>
      <c r="I5" s="354"/>
      <c r="J5" s="356"/>
      <c r="K5" s="186" t="s">
        <v>127</v>
      </c>
      <c r="L5" s="190" t="s">
        <v>128</v>
      </c>
      <c r="M5" s="65"/>
      <c r="O5" s="179"/>
    </row>
    <row r="6" spans="2:15">
      <c r="B6" s="63"/>
      <c r="C6" s="38" t="s">
        <v>129</v>
      </c>
      <c r="D6" s="221"/>
      <c r="E6" s="18" t="s">
        <v>130</v>
      </c>
      <c r="F6" s="184" t="str">
        <f>IF(D7="","",D6-(1.29904*(D8/100)/D7))</f>
        <v/>
      </c>
      <c r="G6" s="15" t="s">
        <v>130</v>
      </c>
      <c r="H6" s="345" t="str">
        <f>IF(D7="","",D6-(0.0068*D8/D7))</f>
        <v/>
      </c>
      <c r="I6" s="355" t="s">
        <v>130</v>
      </c>
      <c r="J6" s="15"/>
      <c r="K6" s="219">
        <v>0</v>
      </c>
      <c r="L6" s="220">
        <v>3.4000000000000002E-2</v>
      </c>
      <c r="M6" s="65"/>
      <c r="O6" s="179"/>
    </row>
    <row r="7" spans="2:15">
      <c r="B7" s="63"/>
      <c r="C7" s="38" t="s">
        <v>131</v>
      </c>
      <c r="D7" s="172"/>
      <c r="E7" s="18"/>
      <c r="F7" s="184" t="str">
        <f>IF(D7="","",F6*25.4)</f>
        <v/>
      </c>
      <c r="G7" s="15" t="s">
        <v>132</v>
      </c>
      <c r="H7" s="345" t="str">
        <f>IF(D7="","",H6*25.4)</f>
        <v/>
      </c>
      <c r="I7" s="355" t="s">
        <v>132</v>
      </c>
      <c r="J7" s="15"/>
      <c r="K7" s="218">
        <v>0</v>
      </c>
      <c r="L7" s="220">
        <v>4.7E-2</v>
      </c>
      <c r="M7" s="65"/>
      <c r="O7" s="179"/>
    </row>
    <row r="8" spans="2:15">
      <c r="B8" s="63"/>
      <c r="C8" s="38" t="s">
        <v>133</v>
      </c>
      <c r="D8" s="325">
        <v>75</v>
      </c>
      <c r="E8" s="18" t="s">
        <v>134</v>
      </c>
      <c r="F8" s="374"/>
      <c r="G8" s="18"/>
      <c r="H8" s="349"/>
      <c r="I8" s="330"/>
      <c r="J8" s="15"/>
      <c r="K8" s="187">
        <v>0</v>
      </c>
      <c r="L8" s="220">
        <v>0.06</v>
      </c>
      <c r="M8" s="65"/>
      <c r="O8" s="179"/>
    </row>
    <row r="9" spans="2:15">
      <c r="B9" s="351"/>
      <c r="C9" s="18"/>
      <c r="D9" s="18"/>
      <c r="E9" s="18"/>
      <c r="F9" s="352"/>
      <c r="G9" s="18"/>
      <c r="H9" s="350"/>
      <c r="I9" s="330"/>
      <c r="J9" s="18"/>
      <c r="K9" s="187">
        <v>1</v>
      </c>
      <c r="L9" s="220">
        <v>7.2999999999999995E-2</v>
      </c>
      <c r="M9" s="65"/>
      <c r="O9" s="179"/>
    </row>
    <row r="10" spans="2:15">
      <c r="B10" s="331"/>
      <c r="C10" s="332"/>
      <c r="D10" s="340"/>
      <c r="E10" s="333"/>
      <c r="F10" s="362" t="str">
        <f>IF(D6&gt;1.5,"","Drill")</f>
        <v>Drill</v>
      </c>
      <c r="G10" s="363" t="str">
        <f>IF(D6&gt;1.5,"","Inches")</f>
        <v>Inches</v>
      </c>
      <c r="H10" s="364" t="str">
        <f>IF(D6&gt;1.5,"","Drill")</f>
        <v>Drill</v>
      </c>
      <c r="I10" s="365" t="str">
        <f>IF(D6&gt;1.5,"","Inches")</f>
        <v>Inches</v>
      </c>
      <c r="J10" s="18"/>
      <c r="K10" s="187">
        <v>2</v>
      </c>
      <c r="L10" s="220">
        <v>8.5999999999999993E-2</v>
      </c>
      <c r="M10" s="65"/>
      <c r="O10" s="179"/>
    </row>
    <row r="11" spans="2:15">
      <c r="B11" s="582" t="str">
        <f>IF(D6&gt;1.5,"","Closest Inch Drill Bits")</f>
        <v>Closest Inch Drill Bits</v>
      </c>
      <c r="C11" s="583"/>
      <c r="D11" s="583"/>
      <c r="E11" s="584"/>
      <c r="F11" s="334" t="str">
        <f>IF(D7="","",IF(D6&gt;1.5,"",INDEX(Data!G101:G318,MATCH(F6,Data!F101:F318,1),1)))</f>
        <v/>
      </c>
      <c r="G11" s="341" t="str">
        <f>IF(D7="","",IF(D6&gt;1.5,"",INDEX(Data!F101:F318,MATCH(F6,Data!F101:F318,1),1)))</f>
        <v/>
      </c>
      <c r="H11" s="346" t="str">
        <f>IF(D7="","",IF(D6&gt;1.5,"",INDEX(Data!G101:G318,MATCH(H6,Data!F101:F318,1),1)))</f>
        <v/>
      </c>
      <c r="I11" s="336" t="str">
        <f>IF(D7="","",IF(D6&gt;1.5,"",INDEX(Data!F101:F318,MATCH(H6,Data!F101:F318,1),1)))</f>
        <v/>
      </c>
      <c r="J11" s="50"/>
      <c r="K11" s="187">
        <v>3</v>
      </c>
      <c r="L11" s="220">
        <v>9.9000000000000005E-2</v>
      </c>
      <c r="M11" s="65"/>
      <c r="O11" s="179"/>
    </row>
    <row r="12" spans="2:15">
      <c r="B12" s="585"/>
      <c r="C12" s="583"/>
      <c r="D12" s="583"/>
      <c r="E12" s="584"/>
      <c r="F12" s="337" t="str">
        <f>IF(D7="","",IF(D6&gt;1.5,"",INDEX(Data!J101:J318,MATCH(F6,Data!I101:I318,-1),1)))</f>
        <v/>
      </c>
      <c r="G12" s="342" t="str">
        <f>IF(D7="","",IF(D6&gt;1.5,"",INDEX(Data!I101:I318,MATCH(F6,Data!I101:I318,-1),1)))</f>
        <v/>
      </c>
      <c r="H12" s="347" t="str">
        <f>IF(D7="","",IF(D6&gt;1.5,"",INDEX(Data!J101:J318,MATCH(H6,Data!I101:I318,-1),1)))</f>
        <v/>
      </c>
      <c r="I12" s="338" t="str">
        <f>IF(D7="","",IF(D6&gt;1.5,"",INDEX(Data!I101:I318,MATCH(H6,Data!I101:I318,-1),1)))</f>
        <v/>
      </c>
      <c r="J12" s="50"/>
      <c r="K12" s="187">
        <v>4</v>
      </c>
      <c r="L12" s="220">
        <v>0.112</v>
      </c>
      <c r="M12" s="65"/>
      <c r="O12" s="179"/>
    </row>
    <row r="13" spans="2:15">
      <c r="B13" s="582" t="str">
        <f>IF(D6&gt;1.5,"","Closest Millimeter Drill Bits")</f>
        <v>Closest Millimeter Drill Bits</v>
      </c>
      <c r="C13" s="583"/>
      <c r="D13" s="583"/>
      <c r="E13" s="584"/>
      <c r="F13" s="335" t="str">
        <f>IF(D7="","",IF(D6&gt;1.5,"",INDEX(Data!P2:P215,MATCH(F6,Data!O2:O215,1),1)))</f>
        <v/>
      </c>
      <c r="G13" s="341" t="str">
        <f>IF(D7="","",IF(D6&gt;1.5,"",INDEX(Data!O2:O215,MATCH(F6,Data!O2:O215,1),1)))</f>
        <v/>
      </c>
      <c r="H13" s="348" t="str">
        <f>IF(D7="","",IF(D6&gt;1.5,"",INDEX(Data!P2:P215,MATCH(H6,Data!O2:O215,1),1)))</f>
        <v/>
      </c>
      <c r="I13" s="336" t="str">
        <f>IF(D7="","",IF(D6&gt;1.5,"",INDEX(Data!O2:O215,MATCH(H6,Data!O2:O215,1),1)))</f>
        <v/>
      </c>
      <c r="J13" s="50"/>
      <c r="K13" s="187">
        <v>5</v>
      </c>
      <c r="L13" s="220">
        <v>0.125</v>
      </c>
      <c r="M13" s="65"/>
      <c r="O13" s="179"/>
    </row>
    <row r="14" spans="2:15">
      <c r="B14" s="585"/>
      <c r="C14" s="583"/>
      <c r="D14" s="583"/>
      <c r="E14" s="584"/>
      <c r="F14" s="335" t="str">
        <f>IF(D7="","",IF(D6&gt;1.5,"",INDEX(Data!R2:R215,MATCH(F6,Data!Q2:Q215,-1),1)))</f>
        <v/>
      </c>
      <c r="G14" s="341" t="str">
        <f>IF(D7="","",IF(D6&gt;1.5,"",INDEX(Data!Q2:Q215,MATCH(F6,Data!Q2:Q215,-1),1)))</f>
        <v/>
      </c>
      <c r="H14" s="348" t="str">
        <f>IF(D7="","",IF(D6&gt;1.5,"",INDEX(Data!R2:R215,MATCH(H6,Data!Q2:Q215,-1),1)))</f>
        <v/>
      </c>
      <c r="I14" s="336" t="str">
        <f>IF(D7="","",IF(D6&gt;1.5,"",INDEX(Data!Q2:Q215,MATCH(H6,Data!Q2:Q215,-1),1)))</f>
        <v/>
      </c>
      <c r="J14" s="50"/>
      <c r="K14" s="187">
        <v>6</v>
      </c>
      <c r="L14" s="220">
        <v>0.13800000000000001</v>
      </c>
      <c r="M14" s="65"/>
      <c r="O14" s="179"/>
    </row>
    <row r="15" spans="2:15" ht="15" customHeight="1">
      <c r="B15" s="367"/>
      <c r="C15" s="368"/>
      <c r="D15" s="368"/>
      <c r="E15" s="368"/>
      <c r="F15" s="368"/>
      <c r="G15" s="368"/>
      <c r="H15" s="368"/>
      <c r="I15" s="369"/>
      <c r="J15" s="330"/>
      <c r="K15" s="187">
        <v>7</v>
      </c>
      <c r="L15" s="220">
        <v>0.151</v>
      </c>
      <c r="M15" s="65"/>
      <c r="O15" s="179"/>
    </row>
    <row r="16" spans="2:15">
      <c r="B16" s="63"/>
      <c r="C16" s="18"/>
      <c r="D16" s="18"/>
      <c r="E16" s="18"/>
      <c r="F16" s="366"/>
      <c r="G16" s="18"/>
      <c r="H16" s="343" t="s">
        <v>123</v>
      </c>
      <c r="I16" s="353"/>
      <c r="J16" s="330"/>
      <c r="K16" s="187">
        <v>8</v>
      </c>
      <c r="L16" s="220">
        <v>0.16400000000000001</v>
      </c>
      <c r="M16" s="65"/>
      <c r="N16" s="180"/>
    </row>
    <row r="17" spans="2:13" ht="15.6">
      <c r="B17" s="63"/>
      <c r="C17" s="18"/>
      <c r="D17" s="185" t="s">
        <v>135</v>
      </c>
      <c r="E17" s="18"/>
      <c r="F17" s="183" t="s">
        <v>126</v>
      </c>
      <c r="G17" s="182"/>
      <c r="H17" s="344" t="s">
        <v>126</v>
      </c>
      <c r="I17" s="354"/>
      <c r="J17" s="15"/>
      <c r="K17" s="187">
        <v>9</v>
      </c>
      <c r="L17" s="220">
        <v>0.17699999999999999</v>
      </c>
      <c r="M17" s="65"/>
    </row>
    <row r="18" spans="2:13">
      <c r="B18" s="63"/>
      <c r="C18" s="38" t="s">
        <v>129</v>
      </c>
      <c r="D18" s="3"/>
      <c r="E18" s="18" t="s">
        <v>132</v>
      </c>
      <c r="F18" s="184" t="str">
        <f>IF(D19="","",D18-(1.29904*D19*(D20/100)))</f>
        <v/>
      </c>
      <c r="G18" s="15" t="s">
        <v>132</v>
      </c>
      <c r="H18" s="345" t="str">
        <f>IF(D19="","",H19*25.4)</f>
        <v/>
      </c>
      <c r="I18" s="355" t="s">
        <v>132</v>
      </c>
      <c r="J18" s="15"/>
      <c r="K18" s="187">
        <v>10</v>
      </c>
      <c r="L18" s="220">
        <v>0.19</v>
      </c>
      <c r="M18" s="65"/>
    </row>
    <row r="19" spans="2:13">
      <c r="B19" s="63"/>
      <c r="C19" s="38" t="s">
        <v>136</v>
      </c>
      <c r="D19" s="3"/>
      <c r="E19" s="18" t="s">
        <v>132</v>
      </c>
      <c r="F19" s="184" t="str">
        <f>IF(D19="","",F18/25.4)</f>
        <v/>
      </c>
      <c r="G19" s="15" t="s">
        <v>130</v>
      </c>
      <c r="H19" s="345" t="str">
        <f>IF(D19="","",(D18/25.4)-((0.0068*D20)/F21))</f>
        <v/>
      </c>
      <c r="I19" s="355" t="s">
        <v>130</v>
      </c>
      <c r="J19" s="18"/>
      <c r="K19" s="187">
        <v>12</v>
      </c>
      <c r="L19" s="220">
        <v>0.216</v>
      </c>
      <c r="M19" s="65"/>
    </row>
    <row r="20" spans="2:13">
      <c r="B20" s="63"/>
      <c r="C20" s="38" t="s">
        <v>133</v>
      </c>
      <c r="D20" s="3">
        <v>75</v>
      </c>
      <c r="E20" s="18" t="s">
        <v>134</v>
      </c>
      <c r="F20" s="374"/>
      <c r="G20" s="18"/>
      <c r="H20" s="349"/>
      <c r="I20" s="330"/>
      <c r="J20" s="18"/>
      <c r="K20" s="323">
        <v>14</v>
      </c>
      <c r="L20" s="324">
        <v>0.24199999999999999</v>
      </c>
      <c r="M20" s="65"/>
    </row>
    <row r="21" spans="2:13">
      <c r="B21" s="63"/>
      <c r="C21" s="18"/>
      <c r="D21" s="18"/>
      <c r="E21" s="38" t="s">
        <v>137</v>
      </c>
      <c r="F21" s="339" t="str">
        <f>IF(D19="","",1/(D19/25.4))</f>
        <v/>
      </c>
      <c r="G21" s="18"/>
      <c r="H21" s="350"/>
      <c r="I21" s="330"/>
      <c r="J21" s="18"/>
      <c r="K21" s="326"/>
      <c r="L21" s="327"/>
      <c r="M21" s="65"/>
    </row>
    <row r="22" spans="2:13">
      <c r="B22" s="331"/>
      <c r="C22" s="332"/>
      <c r="D22" s="340"/>
      <c r="E22" s="333"/>
      <c r="F22" s="362" t="str">
        <f>IF(D18&gt;38.5,"","Drill")</f>
        <v>Drill</v>
      </c>
      <c r="G22" s="363" t="str">
        <f>IF(D18&gt;38.5,"","Inches")</f>
        <v>Inches</v>
      </c>
      <c r="H22" s="364" t="str">
        <f>IF(D18&gt;38.5,"","Drill")</f>
        <v>Drill</v>
      </c>
      <c r="I22" s="365" t="str">
        <f>IF(D18&gt;38.5,"","Inches")</f>
        <v>Inches</v>
      </c>
      <c r="J22" s="50"/>
      <c r="K22" s="191" t="s">
        <v>642</v>
      </c>
      <c r="L22" s="327"/>
      <c r="M22" s="65"/>
    </row>
    <row r="23" spans="2:13">
      <c r="B23" s="582" t="str">
        <f>IF(D18&gt;38.5,"","Closest Inch Drill Bits")</f>
        <v>Closest Inch Drill Bits</v>
      </c>
      <c r="C23" s="583"/>
      <c r="D23" s="583"/>
      <c r="E23" s="584"/>
      <c r="F23" s="334" t="str">
        <f>IF(D19="","",IF(D18&gt;38.5,"",INDEX(Data!G101:G318,MATCH(F19,Data!F101:F318,1),1)))</f>
        <v/>
      </c>
      <c r="G23" s="341" t="str">
        <f>IF(D19="","",IF(D18&gt;38.5,"",INDEX(Data!F101:F318,MATCH(F19,Data!F101:F318,1),1)))</f>
        <v/>
      </c>
      <c r="H23" s="346" t="str">
        <f>IF(D19="","",IF(D18&gt;38.5,"",INDEX(Data!G101:G318,MATCH(H19,Data!F101:F318,1),1)))</f>
        <v/>
      </c>
      <c r="I23" s="336" t="str">
        <f>IF(D19="","",IF(D18&gt;38.5,"",INDEX(Data!F101:F318,MATCH(H19,Data!F101:F318,1),1)))</f>
        <v/>
      </c>
      <c r="J23" s="50"/>
      <c r="K23" s="361" t="s">
        <v>643</v>
      </c>
      <c r="L23" s="327"/>
      <c r="M23" s="65"/>
    </row>
    <row r="24" spans="2:13">
      <c r="B24" s="585"/>
      <c r="C24" s="583"/>
      <c r="D24" s="583"/>
      <c r="E24" s="584"/>
      <c r="F24" s="337" t="str">
        <f>IF(D19="","",IF(D18&gt;38.5,"",INDEX(Data!J101:J318,MATCH(F19,Data!I101:I318,-1),1)))</f>
        <v/>
      </c>
      <c r="G24" s="342" t="str">
        <f>IF(D19="","",IF(D18&gt;38.5,"",INDEX(Data!I101:I318,MATCH(F19,Data!I101:I318,-1),1)))</f>
        <v/>
      </c>
      <c r="H24" s="347" t="str">
        <f>IF(D19="","",IF(D18&gt;38.5,"",INDEX(Data!J101:J318,MATCH(H19,Data!I101:I318,-1),1)))</f>
        <v/>
      </c>
      <c r="I24" s="338" t="str">
        <f>IF(D19="","",IF(D18&gt;38.5,"",INDEX(Data!I101:I318,MATCH(H19,Data!I101:I318,-1),1)))</f>
        <v/>
      </c>
      <c r="J24" s="50"/>
      <c r="K24" s="361" t="s">
        <v>644</v>
      </c>
      <c r="L24" s="327"/>
      <c r="M24" s="65"/>
    </row>
    <row r="25" spans="2:13">
      <c r="B25" s="582" t="str">
        <f>IF(D18&gt;38.5,"","Closest Millimeter Drill Bits")</f>
        <v>Closest Millimeter Drill Bits</v>
      </c>
      <c r="C25" s="583"/>
      <c r="D25" s="583"/>
      <c r="E25" s="584"/>
      <c r="F25" s="335" t="str">
        <f>IF(D19="","",IF(D18&gt;38.5,"",INDEX(Data!P2:P215,MATCH(F19,Data!O2:O215,1),1)))</f>
        <v/>
      </c>
      <c r="G25" s="341" t="str">
        <f>IF(D19="","",IF(D18&gt;38.5,"",INDEX(Data!O2:O215,MATCH(F19,Data!O2:O215,1),1)))</f>
        <v/>
      </c>
      <c r="H25" s="348" t="str">
        <f>IF(D19="","",IF(D18&gt;38.5,"",INDEX(Data!P2:P215,MATCH(H19,Data!O2:O215,1),1)))</f>
        <v/>
      </c>
      <c r="I25" s="336" t="str">
        <f>IF(D19="","",IF(D18&gt;38.5,"",INDEX(Data!O2:O215,MATCH(H19,Data!O2:O215,1),1)))</f>
        <v/>
      </c>
      <c r="J25" s="50"/>
      <c r="K25" s="326"/>
      <c r="L25" s="327"/>
      <c r="M25" s="65"/>
    </row>
    <row r="26" spans="2:13">
      <c r="B26" s="586"/>
      <c r="C26" s="587"/>
      <c r="D26" s="587"/>
      <c r="E26" s="588"/>
      <c r="F26" s="370" t="str">
        <f>IF(D19="","",IF(D18&gt;38.5,"",INDEX(Data!R2:R215,MATCH(F19,Data!Q2:Q215,-1),1)))</f>
        <v/>
      </c>
      <c r="G26" s="371" t="str">
        <f>IF(D19="","",IF(D18&gt;38.5,"",INDEX(Data!Q2:Q215,MATCH(F19,Data!Q2:Q215,-1),1)))</f>
        <v/>
      </c>
      <c r="H26" s="372" t="str">
        <f>IF(D19="","",IF(D18&gt;38.5,"",INDEX(Data!R2:R215,MATCH(H19,Data!Q2:Q215,-1),1)))</f>
        <v/>
      </c>
      <c r="I26" s="373" t="str">
        <f>IF(D19="","",IF(D18&gt;38.5,"",INDEX(Data!Q2:Q215,MATCH(H19,Data!Q2:Q215,-1),1)))</f>
        <v/>
      </c>
      <c r="J26" s="18"/>
      <c r="K26" s="326"/>
      <c r="L26" s="327"/>
      <c r="M26" s="65"/>
    </row>
    <row r="27" spans="2:13">
      <c r="B27" s="63"/>
      <c r="C27" s="18"/>
      <c r="D27" s="18"/>
      <c r="E27" s="18"/>
      <c r="F27" s="18"/>
      <c r="G27" s="18"/>
      <c r="H27" s="191"/>
      <c r="I27" s="18"/>
      <c r="J27" s="18"/>
      <c r="K27" s="326"/>
      <c r="L27" s="327"/>
      <c r="M27" s="65"/>
    </row>
    <row r="28" spans="2:13" ht="15.6" thickBot="1">
      <c r="B28" s="181"/>
      <c r="C28" s="68"/>
      <c r="D28" s="68"/>
      <c r="E28" s="68"/>
      <c r="F28" s="68"/>
      <c r="G28" s="68"/>
      <c r="H28" s="68"/>
      <c r="I28" s="68"/>
      <c r="J28" s="68"/>
      <c r="K28" s="328"/>
      <c r="L28" s="329"/>
      <c r="M28" s="70"/>
    </row>
  </sheetData>
  <sheetProtection sheet="1" objects="1" scenarios="1"/>
  <mergeCells count="4">
    <mergeCell ref="B23:E24"/>
    <mergeCell ref="B25:E26"/>
    <mergeCell ref="B11:E12"/>
    <mergeCell ref="B13:E14"/>
  </mergeCells>
  <phoneticPr fontId="0" type="noConversion"/>
  <conditionalFormatting sqref="B10:I14">
    <cfRule type="expression" dxfId="4" priority="1" stopIfTrue="1">
      <formula>$D$6&gt;1.5</formula>
    </cfRule>
  </conditionalFormatting>
  <conditionalFormatting sqref="B22:I26">
    <cfRule type="expression" dxfId="3" priority="2" stopIfTrue="1">
      <formula>$D$18&gt;38.5</formula>
    </cfRule>
  </conditionalFormatting>
  <printOptions horizontalCentered="1" verticalCentered="1" gridLinesSet="0"/>
  <pageMargins left="0.5" right="0.5" top="0.5" bottom="0.5" header="0.5" footer="0.5"/>
  <pageSetup orientation="landscape" blackAndWhite="1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9"/>
  </sheetPr>
  <dimension ref="B1:E22"/>
  <sheetViews>
    <sheetView showGridLines="0" showRowColHeaders="0" workbookViewId="0">
      <selection activeCell="B5" sqref="B5"/>
    </sheetView>
  </sheetViews>
  <sheetFormatPr defaultRowHeight="15"/>
  <cols>
    <col min="1" max="1" width="3.81640625" customWidth="1"/>
  </cols>
  <sheetData>
    <row r="1" spans="2:5" ht="24.6">
      <c r="B1" s="316" t="s">
        <v>138</v>
      </c>
      <c r="C1" s="317"/>
      <c r="D1" s="317"/>
      <c r="E1" s="318"/>
    </row>
    <row r="2" spans="2:5">
      <c r="B2" s="310"/>
      <c r="C2" s="311"/>
      <c r="D2" s="311"/>
      <c r="E2" s="312"/>
    </row>
    <row r="3" spans="2:5">
      <c r="B3" s="288"/>
      <c r="C3" s="289"/>
      <c r="D3" s="290" t="s">
        <v>127</v>
      </c>
      <c r="E3" s="291"/>
    </row>
    <row r="4" spans="2:5">
      <c r="B4" s="292" t="s">
        <v>139</v>
      </c>
      <c r="C4" s="293" t="s">
        <v>140</v>
      </c>
      <c r="D4" s="293" t="s">
        <v>141</v>
      </c>
      <c r="E4" s="294" t="s">
        <v>142</v>
      </c>
    </row>
    <row r="5" spans="2:5" ht="17.100000000000001" customHeight="1">
      <c r="B5" s="295"/>
      <c r="C5" s="296" t="str">
        <f>IF(Data!S3=0,"",Data!S3)</f>
        <v/>
      </c>
      <c r="D5" s="296">
        <f>IF(Data!S4=0,"",Data!S4)</f>
        <v>97</v>
      </c>
      <c r="E5" s="297">
        <f>IF(Data!S5=0,"",Data!S5)</f>
        <v>0.15</v>
      </c>
    </row>
    <row r="6" spans="2:5">
      <c r="B6" s="298"/>
      <c r="C6" s="299"/>
      <c r="D6" s="299"/>
      <c r="E6" s="300"/>
    </row>
    <row r="7" spans="2:5">
      <c r="B7" s="301"/>
      <c r="C7" s="302"/>
      <c r="D7" s="302"/>
      <c r="E7" s="303"/>
    </row>
    <row r="8" spans="2:5">
      <c r="B8" s="304" t="s">
        <v>142</v>
      </c>
      <c r="C8" s="305" t="s">
        <v>139</v>
      </c>
      <c r="D8" s="306"/>
      <c r="E8" s="307"/>
    </row>
    <row r="9" spans="2:5" ht="17.100000000000001" customHeight="1">
      <c r="B9" s="308"/>
      <c r="C9" s="306">
        <f>Data!S21</f>
        <v>5.8999999999999999E-3</v>
      </c>
      <c r="D9" s="309"/>
      <c r="E9" s="307"/>
    </row>
    <row r="10" spans="2:5">
      <c r="B10" s="310"/>
      <c r="C10" s="311"/>
      <c r="D10" s="311"/>
      <c r="E10" s="312"/>
    </row>
    <row r="11" spans="2:5">
      <c r="B11" s="288"/>
      <c r="C11" s="289"/>
      <c r="D11" s="289"/>
      <c r="E11" s="291"/>
    </row>
    <row r="12" spans="2:5">
      <c r="B12" s="313" t="s">
        <v>127</v>
      </c>
      <c r="C12" s="293" t="s">
        <v>139</v>
      </c>
      <c r="D12" s="314"/>
      <c r="E12" s="315"/>
    </row>
    <row r="13" spans="2:5" ht="17.100000000000001" customHeight="1">
      <c r="B13" s="295"/>
      <c r="C13" s="296">
        <f>Data!S17</f>
        <v>0.22800000000000001</v>
      </c>
      <c r="D13" s="314"/>
      <c r="E13" s="315"/>
    </row>
    <row r="14" spans="2:5">
      <c r="B14" s="298"/>
      <c r="C14" s="299"/>
      <c r="D14" s="299"/>
      <c r="E14" s="300"/>
    </row>
    <row r="15" spans="2:5">
      <c r="B15" s="301"/>
      <c r="C15" s="302"/>
      <c r="D15" s="302"/>
      <c r="E15" s="303"/>
    </row>
    <row r="16" spans="2:5">
      <c r="B16" s="304" t="s">
        <v>140</v>
      </c>
      <c r="C16" s="305" t="s">
        <v>139</v>
      </c>
      <c r="D16" s="309"/>
      <c r="E16" s="307"/>
    </row>
    <row r="17" spans="2:5" ht="17.100000000000001" customHeight="1">
      <c r="B17" s="308"/>
      <c r="C17" s="306">
        <f>Data!S9</f>
        <v>1.5599999999999999E-2</v>
      </c>
      <c r="D17" s="309"/>
      <c r="E17" s="307"/>
    </row>
    <row r="18" spans="2:5">
      <c r="B18" s="310"/>
      <c r="C18" s="311"/>
      <c r="D18" s="311"/>
      <c r="E18" s="312"/>
    </row>
    <row r="19" spans="2:5">
      <c r="B19" s="288"/>
      <c r="C19" s="289"/>
      <c r="D19" s="289"/>
      <c r="E19" s="291"/>
    </row>
    <row r="20" spans="2:5">
      <c r="B20" s="313" t="s">
        <v>143</v>
      </c>
      <c r="C20" s="293" t="s">
        <v>139</v>
      </c>
      <c r="D20" s="314"/>
      <c r="E20" s="315"/>
    </row>
    <row r="21" spans="2:5" ht="17.100000000000001" customHeight="1">
      <c r="B21" s="295"/>
      <c r="C21" s="296">
        <f>Data!S13</f>
        <v>0.23400000000000001</v>
      </c>
      <c r="D21" s="314"/>
      <c r="E21" s="315"/>
    </row>
    <row r="22" spans="2:5">
      <c r="B22" s="298"/>
      <c r="C22" s="299"/>
      <c r="D22" s="299"/>
      <c r="E22" s="300"/>
    </row>
  </sheetData>
  <sheetProtection sheet="1" objects="1" scenarios="1"/>
  <phoneticPr fontId="0" type="noConversion"/>
  <printOptions horizontalCentered="1" verticalCentered="1"/>
  <pageMargins left="0.75" right="0.75" top="1" bottom="1" header="0.5" footer="0.5"/>
  <pageSetup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Drop Down 3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Drop Down 4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Drop Down 5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49"/>
    <pageSetUpPr fitToPage="1"/>
  </sheetPr>
  <dimension ref="A1:S72"/>
  <sheetViews>
    <sheetView showGridLines="0" showRowColHeaders="0" workbookViewId="0"/>
  </sheetViews>
  <sheetFormatPr defaultColWidth="8.90625" defaultRowHeight="10.199999999999999"/>
  <cols>
    <col min="1" max="2" width="4.1796875" style="193" customWidth="1"/>
    <col min="3" max="3" width="2.6328125" style="193" customWidth="1"/>
    <col min="4" max="6" width="4.1796875" style="193" customWidth="1"/>
    <col min="7" max="7" width="2.6328125" style="193" customWidth="1"/>
    <col min="8" max="10" width="4.1796875" style="193" customWidth="1"/>
    <col min="11" max="11" width="2.1796875" style="193" customWidth="1"/>
    <col min="12" max="14" width="4.1796875" style="193" customWidth="1"/>
    <col min="15" max="15" width="2.1796875" style="193" customWidth="1"/>
    <col min="16" max="16" width="4.6328125" style="193" customWidth="1"/>
    <col min="17" max="18" width="5.1796875" style="193" customWidth="1"/>
    <col min="19" max="19" width="4.6328125" style="193" customWidth="1"/>
    <col min="20" max="16384" width="8.90625" style="193"/>
  </cols>
  <sheetData>
    <row r="1" spans="1:19" ht="39.9" customHeight="1">
      <c r="A1" s="194" t="s">
        <v>140</v>
      </c>
      <c r="B1" s="195" t="s">
        <v>139</v>
      </c>
      <c r="C1" s="195" t="s">
        <v>127</v>
      </c>
      <c r="D1" s="195" t="s">
        <v>142</v>
      </c>
      <c r="E1" s="194" t="s">
        <v>140</v>
      </c>
      <c r="F1" s="195" t="s">
        <v>139</v>
      </c>
      <c r="G1" s="195" t="s">
        <v>127</v>
      </c>
      <c r="H1" s="195" t="s">
        <v>142</v>
      </c>
      <c r="I1" s="194" t="s">
        <v>140</v>
      </c>
      <c r="J1" s="195" t="s">
        <v>139</v>
      </c>
      <c r="K1" s="195" t="s">
        <v>143</v>
      </c>
      <c r="L1" s="195" t="s">
        <v>142</v>
      </c>
      <c r="M1" s="194" t="s">
        <v>140</v>
      </c>
      <c r="N1" s="195" t="s">
        <v>139</v>
      </c>
      <c r="O1" s="195" t="s">
        <v>143</v>
      </c>
      <c r="P1" s="195" t="s">
        <v>142</v>
      </c>
      <c r="Q1" s="194" t="s">
        <v>140</v>
      </c>
      <c r="R1" s="195" t="s">
        <v>139</v>
      </c>
      <c r="S1" s="196" t="s">
        <v>142</v>
      </c>
    </row>
    <row r="2" spans="1:19" ht="9.4499999999999993" customHeight="1">
      <c r="A2" s="199"/>
      <c r="B2" s="205">
        <v>0.04</v>
      </c>
      <c r="C2" s="200">
        <v>60</v>
      </c>
      <c r="D2" s="201"/>
      <c r="E2" s="199"/>
      <c r="F2" s="205">
        <v>0.122</v>
      </c>
      <c r="G2" s="200"/>
      <c r="H2" s="201">
        <v>3.1</v>
      </c>
      <c r="I2" s="199" t="s">
        <v>144</v>
      </c>
      <c r="J2" s="205">
        <v>0.2344</v>
      </c>
      <c r="K2" s="200"/>
      <c r="L2" s="201"/>
      <c r="M2" s="199" t="s">
        <v>145</v>
      </c>
      <c r="N2" s="205">
        <v>0.375</v>
      </c>
      <c r="O2" s="200"/>
      <c r="P2" s="201"/>
      <c r="Q2" s="199" t="s">
        <v>146</v>
      </c>
      <c r="R2" s="205">
        <v>0.90620000000000001</v>
      </c>
      <c r="S2" s="202"/>
    </row>
    <row r="3" spans="1:19" ht="9.4499999999999993" customHeight="1">
      <c r="A3" s="199"/>
      <c r="B3" s="205">
        <v>4.1000000000000002E-2</v>
      </c>
      <c r="C3" s="200">
        <v>59</v>
      </c>
      <c r="D3" s="201"/>
      <c r="E3" s="199" t="s">
        <v>147</v>
      </c>
      <c r="F3" s="205">
        <v>0.125</v>
      </c>
      <c r="G3" s="200"/>
      <c r="H3" s="201"/>
      <c r="I3" s="199"/>
      <c r="J3" s="205">
        <v>0.23619999999999999</v>
      </c>
      <c r="K3" s="200"/>
      <c r="L3" s="201">
        <v>6</v>
      </c>
      <c r="M3" s="199"/>
      <c r="N3" s="205">
        <v>0.377</v>
      </c>
      <c r="O3" s="200" t="s">
        <v>148</v>
      </c>
      <c r="P3" s="201"/>
      <c r="Q3" s="199" t="s">
        <v>149</v>
      </c>
      <c r="R3" s="205">
        <v>0.92190000000000005</v>
      </c>
      <c r="S3" s="202"/>
    </row>
    <row r="4" spans="1:19" ht="9.4499999999999993" customHeight="1">
      <c r="A4" s="199"/>
      <c r="B4" s="205">
        <v>4.1300000000000003E-2</v>
      </c>
      <c r="C4" s="200"/>
      <c r="D4" s="201">
        <v>1.05</v>
      </c>
      <c r="E4" s="199"/>
      <c r="F4" s="205">
        <v>0.126</v>
      </c>
      <c r="G4" s="200"/>
      <c r="H4" s="201">
        <v>3.2</v>
      </c>
      <c r="I4" s="199"/>
      <c r="J4" s="205">
        <v>0.23800000000000002</v>
      </c>
      <c r="K4" s="200" t="s">
        <v>150</v>
      </c>
      <c r="L4" s="201"/>
      <c r="M4" s="199"/>
      <c r="N4" s="205">
        <v>0.378</v>
      </c>
      <c r="O4" s="200"/>
      <c r="P4" s="201">
        <v>9.6</v>
      </c>
      <c r="Q4" s="199"/>
      <c r="R4" s="205">
        <v>0.92520000000000002</v>
      </c>
      <c r="S4" s="202">
        <v>23.5</v>
      </c>
    </row>
    <row r="5" spans="1:19" ht="9.4499999999999993" customHeight="1">
      <c r="A5" s="199"/>
      <c r="B5" s="205">
        <v>4.2000000000000003E-2</v>
      </c>
      <c r="C5" s="200">
        <v>58</v>
      </c>
      <c r="D5" s="201"/>
      <c r="E5" s="199"/>
      <c r="F5" s="205">
        <v>0.128</v>
      </c>
      <c r="G5" s="200"/>
      <c r="H5" s="201">
        <v>3.25</v>
      </c>
      <c r="I5" s="199"/>
      <c r="J5" s="205">
        <v>0.2402</v>
      </c>
      <c r="K5" s="200"/>
      <c r="L5" s="201">
        <v>6.1</v>
      </c>
      <c r="M5" s="199"/>
      <c r="N5" s="205">
        <v>0.38190000000000002</v>
      </c>
      <c r="O5" s="200"/>
      <c r="P5" s="201">
        <v>9.6999999999999993</v>
      </c>
      <c r="Q5" s="199" t="s">
        <v>151</v>
      </c>
      <c r="R5" s="205">
        <v>0.9375</v>
      </c>
      <c r="S5" s="202"/>
    </row>
    <row r="6" spans="1:19" ht="9.4499999999999993" customHeight="1">
      <c r="A6" s="199"/>
      <c r="B6" s="205">
        <v>4.3000000000000003E-2</v>
      </c>
      <c r="C6" s="200">
        <v>57</v>
      </c>
      <c r="D6" s="201"/>
      <c r="E6" s="199"/>
      <c r="F6" s="205">
        <v>0.1285</v>
      </c>
      <c r="G6" s="200">
        <v>30</v>
      </c>
      <c r="H6" s="201"/>
      <c r="I6" s="199"/>
      <c r="J6" s="205">
        <v>0.24199999999999999</v>
      </c>
      <c r="K6" s="200" t="s">
        <v>152</v>
      </c>
      <c r="L6" s="201"/>
      <c r="M6" s="199"/>
      <c r="N6" s="205">
        <v>0.38390000000000002</v>
      </c>
      <c r="O6" s="200"/>
      <c r="P6" s="201">
        <v>9.75</v>
      </c>
      <c r="Q6" s="199"/>
      <c r="R6" s="205">
        <v>0.94489999999999996</v>
      </c>
      <c r="S6" s="202">
        <v>24</v>
      </c>
    </row>
    <row r="7" spans="1:19" ht="9.4499999999999993" customHeight="1">
      <c r="A7" s="199"/>
      <c r="B7" s="205">
        <v>4.3300000000000005E-2</v>
      </c>
      <c r="C7" s="200"/>
      <c r="D7" s="201">
        <v>1.1000000000000001</v>
      </c>
      <c r="E7" s="199"/>
      <c r="F7" s="205">
        <v>0.12989999999999999</v>
      </c>
      <c r="G7" s="200"/>
      <c r="H7" s="201">
        <v>3.3</v>
      </c>
      <c r="I7" s="199"/>
      <c r="J7" s="205">
        <v>0.24410000000000001</v>
      </c>
      <c r="K7" s="200"/>
      <c r="L7" s="201">
        <v>6.2</v>
      </c>
      <c r="M7" s="199"/>
      <c r="N7" s="205">
        <v>0.38579999999999998</v>
      </c>
      <c r="O7" s="200"/>
      <c r="P7" s="201">
        <v>9.8000000000000007</v>
      </c>
      <c r="Q7" s="199" t="s">
        <v>153</v>
      </c>
      <c r="R7" s="205">
        <v>0.95309999999999995</v>
      </c>
      <c r="S7" s="202"/>
    </row>
    <row r="8" spans="1:19" ht="9.4499999999999993" customHeight="1">
      <c r="A8" s="199"/>
      <c r="B8" s="205">
        <v>4.53E-2</v>
      </c>
      <c r="C8" s="200"/>
      <c r="D8" s="201">
        <v>1.1499999999999999</v>
      </c>
      <c r="E8" s="199"/>
      <c r="F8" s="205">
        <v>0.13389999999999999</v>
      </c>
      <c r="G8" s="200"/>
      <c r="H8" s="201">
        <v>3.4</v>
      </c>
      <c r="I8" s="199"/>
      <c r="J8" s="205">
        <v>0.246</v>
      </c>
      <c r="K8" s="200" t="s">
        <v>154</v>
      </c>
      <c r="L8" s="201"/>
      <c r="M8" s="199"/>
      <c r="N8" s="205">
        <v>0.38600000000000001</v>
      </c>
      <c r="O8" s="200" t="s">
        <v>155</v>
      </c>
      <c r="P8" s="201"/>
      <c r="Q8" s="199"/>
      <c r="R8" s="205">
        <v>0.96460000000000001</v>
      </c>
      <c r="S8" s="202">
        <v>24.5</v>
      </c>
    </row>
    <row r="9" spans="1:19" ht="9.4499999999999993" customHeight="1">
      <c r="A9" s="199"/>
      <c r="B9" s="205">
        <v>4.65E-2</v>
      </c>
      <c r="C9" s="200">
        <v>56</v>
      </c>
      <c r="D9" s="201"/>
      <c r="E9" s="199"/>
      <c r="F9" s="205">
        <v>0.13600000000000001</v>
      </c>
      <c r="G9" s="200">
        <v>29</v>
      </c>
      <c r="H9" s="201"/>
      <c r="I9" s="199"/>
      <c r="J9" s="205">
        <v>0.24610000000000001</v>
      </c>
      <c r="K9" s="200"/>
      <c r="L9" s="201">
        <v>6.25</v>
      </c>
      <c r="M9" s="199"/>
      <c r="N9" s="205">
        <v>0.38979999999999998</v>
      </c>
      <c r="O9" s="200"/>
      <c r="P9" s="201">
        <v>9.9</v>
      </c>
      <c r="Q9" s="199" t="s">
        <v>156</v>
      </c>
      <c r="R9" s="205">
        <v>0.96879999999999999</v>
      </c>
      <c r="S9" s="202"/>
    </row>
    <row r="10" spans="1:19" ht="9.4499999999999993" customHeight="1">
      <c r="A10" s="199" t="s">
        <v>157</v>
      </c>
      <c r="B10" s="205">
        <v>4.6900000000000004E-2</v>
      </c>
      <c r="C10" s="200"/>
      <c r="D10" s="201"/>
      <c r="E10" s="199"/>
      <c r="F10" s="205">
        <v>0.13780000000000001</v>
      </c>
      <c r="G10" s="200"/>
      <c r="H10" s="201">
        <v>3.5</v>
      </c>
      <c r="I10" s="199"/>
      <c r="J10" s="205">
        <v>0.248</v>
      </c>
      <c r="K10" s="200"/>
      <c r="L10" s="201">
        <v>6.3</v>
      </c>
      <c r="M10" s="199" t="s">
        <v>158</v>
      </c>
      <c r="N10" s="205">
        <v>0.3906</v>
      </c>
      <c r="O10" s="200"/>
      <c r="P10" s="201"/>
      <c r="Q10" s="199"/>
      <c r="R10" s="205">
        <v>0.98429999999999995</v>
      </c>
      <c r="S10" s="202">
        <v>25</v>
      </c>
    </row>
    <row r="11" spans="1:19" ht="9.4499999999999993" customHeight="1">
      <c r="A11" s="199"/>
      <c r="B11" s="205">
        <v>4.7199999999999999E-2</v>
      </c>
      <c r="C11" s="200"/>
      <c r="D11" s="201">
        <v>1.2</v>
      </c>
      <c r="E11" s="199"/>
      <c r="F11" s="205">
        <v>0.14050000000000001</v>
      </c>
      <c r="G11" s="200">
        <v>28</v>
      </c>
      <c r="H11" s="201"/>
      <c r="I11" s="199" t="s">
        <v>159</v>
      </c>
      <c r="J11" s="205">
        <v>0.25</v>
      </c>
      <c r="K11" s="200" t="s">
        <v>160</v>
      </c>
      <c r="L11" s="201"/>
      <c r="M11" s="199"/>
      <c r="N11" s="205">
        <v>0.39369999999999999</v>
      </c>
      <c r="O11" s="200"/>
      <c r="P11" s="201">
        <v>10</v>
      </c>
      <c r="Q11" s="199" t="s">
        <v>161</v>
      </c>
      <c r="R11" s="205">
        <v>0.98440000000000005</v>
      </c>
      <c r="S11" s="202"/>
    </row>
    <row r="12" spans="1:19" ht="9.4499999999999993" customHeight="1">
      <c r="A12" s="199"/>
      <c r="B12" s="205">
        <v>4.9200000000000001E-2</v>
      </c>
      <c r="C12" s="200"/>
      <c r="D12" s="201">
        <v>1.25</v>
      </c>
      <c r="E12" s="199" t="s">
        <v>162</v>
      </c>
      <c r="F12" s="205">
        <v>0.1406</v>
      </c>
      <c r="G12" s="200"/>
      <c r="H12" s="201"/>
      <c r="I12" s="199"/>
      <c r="J12" s="205">
        <v>0.252</v>
      </c>
      <c r="K12" s="200"/>
      <c r="L12" s="201">
        <v>6.4</v>
      </c>
      <c r="M12" s="199"/>
      <c r="N12" s="205">
        <v>0.39700000000000002</v>
      </c>
      <c r="O12" s="200" t="s">
        <v>120</v>
      </c>
      <c r="P12" s="201"/>
      <c r="Q12" s="199" t="s">
        <v>163</v>
      </c>
      <c r="R12" s="205">
        <v>1</v>
      </c>
      <c r="S12" s="202"/>
    </row>
    <row r="13" spans="1:19" ht="9.4499999999999993" customHeight="1">
      <c r="A13" s="199"/>
      <c r="B13" s="205">
        <v>5.1200000000000002E-2</v>
      </c>
      <c r="C13" s="200"/>
      <c r="D13" s="201">
        <v>1.3</v>
      </c>
      <c r="E13" s="199"/>
      <c r="F13" s="205">
        <v>0.14169999999999999</v>
      </c>
      <c r="G13" s="200"/>
      <c r="H13" s="201">
        <v>3.6</v>
      </c>
      <c r="I13" s="199"/>
      <c r="J13" s="205">
        <v>0.25590000000000002</v>
      </c>
      <c r="K13" s="200"/>
      <c r="L13" s="201">
        <v>6.5</v>
      </c>
      <c r="M13" s="199"/>
      <c r="N13" s="205">
        <v>0.40400000000000003</v>
      </c>
      <c r="O13" s="200" t="s">
        <v>101</v>
      </c>
      <c r="P13" s="201"/>
      <c r="Q13" s="199"/>
      <c r="R13" s="205">
        <v>1.0039</v>
      </c>
      <c r="S13" s="202">
        <v>25.5</v>
      </c>
    </row>
    <row r="14" spans="1:19" ht="9.4499999999999993" customHeight="1">
      <c r="A14" s="199"/>
      <c r="B14" s="205">
        <v>5.2000000000000005E-2</v>
      </c>
      <c r="C14" s="200">
        <v>55</v>
      </c>
      <c r="D14" s="201"/>
      <c r="E14" s="199"/>
      <c r="F14" s="205">
        <v>0.14400000000000002</v>
      </c>
      <c r="G14" s="200">
        <v>27</v>
      </c>
      <c r="H14" s="201"/>
      <c r="I14" s="199"/>
      <c r="J14" s="205">
        <v>0.25700000000000001</v>
      </c>
      <c r="K14" s="200" t="s">
        <v>164</v>
      </c>
      <c r="L14" s="201"/>
      <c r="M14" s="199" t="s">
        <v>165</v>
      </c>
      <c r="N14" s="205">
        <v>0.40620000000000001</v>
      </c>
      <c r="O14" s="200"/>
      <c r="P14" s="201"/>
      <c r="Q14" s="199" t="s">
        <v>166</v>
      </c>
      <c r="R14" s="205">
        <v>1.0156000000000001</v>
      </c>
      <c r="S14" s="202"/>
    </row>
    <row r="15" spans="1:19" ht="9.4499999999999993" customHeight="1">
      <c r="A15" s="199"/>
      <c r="B15" s="205">
        <v>5.3100000000000001E-2</v>
      </c>
      <c r="C15" s="200"/>
      <c r="D15" s="201">
        <v>1.35</v>
      </c>
      <c r="E15" s="199"/>
      <c r="F15" s="205">
        <v>0.1457</v>
      </c>
      <c r="G15" s="200"/>
      <c r="H15" s="201">
        <v>3.7</v>
      </c>
      <c r="I15" s="199"/>
      <c r="J15" s="205">
        <v>0.25979999999999998</v>
      </c>
      <c r="K15" s="200"/>
      <c r="L15" s="201">
        <v>6.6</v>
      </c>
      <c r="M15" s="199"/>
      <c r="N15" s="205">
        <v>0.41300000000000003</v>
      </c>
      <c r="O15" s="200" t="s">
        <v>102</v>
      </c>
      <c r="P15" s="201"/>
      <c r="Q15" s="199"/>
      <c r="R15" s="205">
        <v>1.0236000000000001</v>
      </c>
      <c r="S15" s="202">
        <v>26</v>
      </c>
    </row>
    <row r="16" spans="1:19" ht="9.4499999999999993" customHeight="1">
      <c r="A16" s="199"/>
      <c r="B16" s="205">
        <v>5.5E-2</v>
      </c>
      <c r="C16" s="200">
        <v>54</v>
      </c>
      <c r="D16" s="201"/>
      <c r="E16" s="199"/>
      <c r="F16" s="205">
        <v>0.14699999999999999</v>
      </c>
      <c r="G16" s="200">
        <v>26</v>
      </c>
      <c r="H16" s="201"/>
      <c r="I16" s="199"/>
      <c r="J16" s="205">
        <v>0.26100000000000001</v>
      </c>
      <c r="K16" s="200" t="s">
        <v>167</v>
      </c>
      <c r="L16" s="201"/>
      <c r="M16" s="199"/>
      <c r="N16" s="205">
        <v>0.41339999999999999</v>
      </c>
      <c r="O16" s="200"/>
      <c r="P16" s="201">
        <v>10.5</v>
      </c>
      <c r="Q16" s="199" t="s">
        <v>168</v>
      </c>
      <c r="R16" s="205">
        <v>1.0311999999999999</v>
      </c>
      <c r="S16" s="202"/>
    </row>
    <row r="17" spans="1:19" ht="9.4499999999999993" customHeight="1">
      <c r="A17" s="199"/>
      <c r="B17" s="205">
        <v>5.5100000000000003E-2</v>
      </c>
      <c r="C17" s="200"/>
      <c r="D17" s="201">
        <v>1.4</v>
      </c>
      <c r="E17" s="199"/>
      <c r="F17" s="205">
        <v>0.14760000000000001</v>
      </c>
      <c r="G17" s="200"/>
      <c r="H17" s="201">
        <v>3.75</v>
      </c>
      <c r="I17" s="199"/>
      <c r="J17" s="205">
        <v>0.26379999999999998</v>
      </c>
      <c r="K17" s="200"/>
      <c r="L17" s="201">
        <v>6.7</v>
      </c>
      <c r="M17" s="199" t="s">
        <v>169</v>
      </c>
      <c r="N17" s="205">
        <v>0.4219</v>
      </c>
      <c r="O17" s="200"/>
      <c r="P17" s="201"/>
      <c r="Q17" s="199"/>
      <c r="R17" s="205">
        <v>1.0432999999999999</v>
      </c>
      <c r="S17" s="202">
        <v>26.5</v>
      </c>
    </row>
    <row r="18" spans="1:19" ht="9.4499999999999993" customHeight="1">
      <c r="A18" s="199"/>
      <c r="B18" s="205">
        <v>5.7100000000000005E-2</v>
      </c>
      <c r="C18" s="200"/>
      <c r="D18" s="201">
        <v>1.45</v>
      </c>
      <c r="E18" s="199"/>
      <c r="F18" s="205">
        <v>0.14949999999999999</v>
      </c>
      <c r="G18" s="200">
        <v>25</v>
      </c>
      <c r="H18" s="201"/>
      <c r="I18" s="199" t="s">
        <v>170</v>
      </c>
      <c r="J18" s="205">
        <v>0.2656</v>
      </c>
      <c r="K18" s="200"/>
      <c r="L18" s="201"/>
      <c r="M18" s="199"/>
      <c r="N18" s="205">
        <v>0.43309999999999998</v>
      </c>
      <c r="O18" s="200"/>
      <c r="P18" s="201">
        <v>11</v>
      </c>
      <c r="Q18" s="199" t="s">
        <v>171</v>
      </c>
      <c r="R18" s="205">
        <v>1.0468999999999999</v>
      </c>
      <c r="S18" s="202"/>
    </row>
    <row r="19" spans="1:19" ht="9.4499999999999993" customHeight="1">
      <c r="A19" s="199"/>
      <c r="B19" s="205">
        <v>5.91E-2</v>
      </c>
      <c r="C19" s="200"/>
      <c r="D19" s="201">
        <v>1.5</v>
      </c>
      <c r="E19" s="199"/>
      <c r="F19" s="205">
        <v>0.14960000000000001</v>
      </c>
      <c r="G19" s="200"/>
      <c r="H19" s="201">
        <v>3.8</v>
      </c>
      <c r="I19" s="199"/>
      <c r="J19" s="205">
        <v>0.26569999999999999</v>
      </c>
      <c r="K19" s="200"/>
      <c r="L19" s="201">
        <v>6.75</v>
      </c>
      <c r="M19" s="199" t="s">
        <v>172</v>
      </c>
      <c r="N19" s="205">
        <v>0.4375</v>
      </c>
      <c r="O19" s="200"/>
      <c r="P19" s="201"/>
      <c r="Q19" s="199" t="s">
        <v>173</v>
      </c>
      <c r="R19" s="205">
        <v>1.0625</v>
      </c>
      <c r="S19" s="202"/>
    </row>
    <row r="20" spans="1:19" ht="9.4499999999999993" customHeight="1">
      <c r="A20" s="199"/>
      <c r="B20" s="205">
        <v>5.9500000000000004E-2</v>
      </c>
      <c r="C20" s="200">
        <v>53</v>
      </c>
      <c r="D20" s="201"/>
      <c r="E20" s="199"/>
      <c r="F20" s="205">
        <v>0.152</v>
      </c>
      <c r="G20" s="200">
        <v>24</v>
      </c>
      <c r="H20" s="201"/>
      <c r="I20" s="199"/>
      <c r="J20" s="205">
        <v>0.26600000000000001</v>
      </c>
      <c r="K20" s="200" t="s">
        <v>174</v>
      </c>
      <c r="L20" s="201"/>
      <c r="M20" s="199"/>
      <c r="N20" s="205">
        <v>0.45279999999999998</v>
      </c>
      <c r="O20" s="200"/>
      <c r="P20" s="201">
        <v>11.5</v>
      </c>
      <c r="Q20" s="199"/>
      <c r="R20" s="205">
        <v>1.0629999999999999</v>
      </c>
      <c r="S20" s="202">
        <v>27</v>
      </c>
    </row>
    <row r="21" spans="1:19" ht="9.4499999999999993" customHeight="1">
      <c r="A21" s="199"/>
      <c r="B21" s="205">
        <v>6.1000000000000006E-2</v>
      </c>
      <c r="C21" s="200"/>
      <c r="D21" s="201">
        <v>1.55</v>
      </c>
      <c r="E21" s="199"/>
      <c r="F21" s="205">
        <v>0.1535</v>
      </c>
      <c r="G21" s="200"/>
      <c r="H21" s="201">
        <v>3.9</v>
      </c>
      <c r="I21" s="199"/>
      <c r="J21" s="205">
        <v>0.26769999999999999</v>
      </c>
      <c r="K21" s="200"/>
      <c r="L21" s="201">
        <v>6.8</v>
      </c>
      <c r="M21" s="199" t="s">
        <v>175</v>
      </c>
      <c r="N21" s="205">
        <v>0.4531</v>
      </c>
      <c r="O21" s="200"/>
      <c r="P21" s="201"/>
      <c r="Q21" s="199" t="s">
        <v>176</v>
      </c>
      <c r="R21" s="205">
        <v>1.0781000000000001</v>
      </c>
      <c r="S21" s="202"/>
    </row>
    <row r="22" spans="1:19" ht="9.4499999999999993" customHeight="1">
      <c r="A22" s="199" t="s">
        <v>177</v>
      </c>
      <c r="B22" s="205">
        <v>6.25E-2</v>
      </c>
      <c r="C22" s="200"/>
      <c r="D22" s="201"/>
      <c r="E22" s="199"/>
      <c r="F22" s="205">
        <v>0.154</v>
      </c>
      <c r="G22" s="200">
        <v>23</v>
      </c>
      <c r="H22" s="201"/>
      <c r="I22" s="199"/>
      <c r="J22" s="205">
        <v>0.2717</v>
      </c>
      <c r="K22" s="200"/>
      <c r="L22" s="201">
        <v>6.9</v>
      </c>
      <c r="M22" s="199" t="s">
        <v>178</v>
      </c>
      <c r="N22" s="205">
        <v>0.46879999999999999</v>
      </c>
      <c r="O22" s="200"/>
      <c r="P22" s="201"/>
      <c r="Q22" s="199"/>
      <c r="R22" s="205">
        <v>1.0827</v>
      </c>
      <c r="S22" s="202">
        <v>27.5</v>
      </c>
    </row>
    <row r="23" spans="1:19" ht="9.4499999999999993" customHeight="1">
      <c r="A23" s="199"/>
      <c r="B23" s="205">
        <v>6.3E-2</v>
      </c>
      <c r="C23" s="200"/>
      <c r="D23" s="201">
        <v>1.6</v>
      </c>
      <c r="E23" s="199" t="s">
        <v>179</v>
      </c>
      <c r="F23" s="205">
        <v>0.15620000000000001</v>
      </c>
      <c r="G23" s="200"/>
      <c r="H23" s="201"/>
      <c r="I23" s="199"/>
      <c r="J23" s="205">
        <v>0.27200000000000002</v>
      </c>
      <c r="K23" s="200" t="s">
        <v>180</v>
      </c>
      <c r="L23" s="201"/>
      <c r="M23" s="199"/>
      <c r="N23" s="205">
        <v>0.47239999999999999</v>
      </c>
      <c r="O23" s="200"/>
      <c r="P23" s="201">
        <v>12</v>
      </c>
      <c r="Q23" s="199" t="s">
        <v>181</v>
      </c>
      <c r="R23" s="205">
        <v>1.0938000000000001</v>
      </c>
      <c r="S23" s="202"/>
    </row>
    <row r="24" spans="1:19" ht="9.4499999999999993" customHeight="1">
      <c r="A24" s="199"/>
      <c r="B24" s="205">
        <v>6.3500000000000001E-2</v>
      </c>
      <c r="C24" s="200">
        <v>52</v>
      </c>
      <c r="D24" s="201"/>
      <c r="E24" s="199"/>
      <c r="F24" s="205">
        <v>0.157</v>
      </c>
      <c r="G24" s="200">
        <v>22</v>
      </c>
      <c r="H24" s="201"/>
      <c r="I24" s="199"/>
      <c r="J24" s="205">
        <v>0.27560000000000001</v>
      </c>
      <c r="K24" s="200"/>
      <c r="L24" s="201">
        <v>7</v>
      </c>
      <c r="M24" s="199" t="s">
        <v>182</v>
      </c>
      <c r="N24" s="205">
        <v>0.4844</v>
      </c>
      <c r="O24" s="200"/>
      <c r="P24" s="201"/>
      <c r="Q24" s="199"/>
      <c r="R24" s="205">
        <v>1.1024</v>
      </c>
      <c r="S24" s="202">
        <v>28</v>
      </c>
    </row>
    <row r="25" spans="1:19" ht="9.4499999999999993" customHeight="1">
      <c r="A25" s="199"/>
      <c r="B25" s="205">
        <v>6.5000000000000002E-2</v>
      </c>
      <c r="C25" s="200"/>
      <c r="D25" s="201">
        <v>1.65</v>
      </c>
      <c r="E25" s="199"/>
      <c r="F25" s="205">
        <v>0.1575</v>
      </c>
      <c r="G25" s="200"/>
      <c r="H25" s="201">
        <v>4</v>
      </c>
      <c r="I25" s="199"/>
      <c r="J25" s="205">
        <v>0.27700000000000002</v>
      </c>
      <c r="K25" s="200" t="s">
        <v>183</v>
      </c>
      <c r="L25" s="201"/>
      <c r="M25" s="199"/>
      <c r="N25" s="205">
        <v>0.49209999999999998</v>
      </c>
      <c r="O25" s="200"/>
      <c r="P25" s="201">
        <v>12.5</v>
      </c>
      <c r="Q25" s="199" t="s">
        <v>184</v>
      </c>
      <c r="R25" s="205">
        <v>1.1093999999999999</v>
      </c>
      <c r="S25" s="202"/>
    </row>
    <row r="26" spans="1:19" ht="9.4499999999999993" customHeight="1">
      <c r="A26" s="199"/>
      <c r="B26" s="205">
        <v>6.6900000000000001E-2</v>
      </c>
      <c r="C26" s="200"/>
      <c r="D26" s="201">
        <v>1.7</v>
      </c>
      <c r="E26" s="199"/>
      <c r="F26" s="205">
        <v>0.159</v>
      </c>
      <c r="G26" s="200">
        <v>21</v>
      </c>
      <c r="H26" s="201"/>
      <c r="I26" s="199"/>
      <c r="J26" s="205">
        <v>0.27950000000000003</v>
      </c>
      <c r="K26" s="200"/>
      <c r="L26" s="201">
        <v>7.1</v>
      </c>
      <c r="M26" s="199" t="s">
        <v>185</v>
      </c>
      <c r="N26" s="205">
        <v>0.5</v>
      </c>
      <c r="O26" s="200"/>
      <c r="P26" s="201"/>
      <c r="Q26" s="199"/>
      <c r="R26" s="205">
        <v>1.1220000000000001</v>
      </c>
      <c r="S26" s="202">
        <v>28.5</v>
      </c>
    </row>
    <row r="27" spans="1:19" ht="9.4499999999999993" customHeight="1">
      <c r="A27" s="199"/>
      <c r="B27" s="205">
        <v>6.7000000000000004E-2</v>
      </c>
      <c r="C27" s="200">
        <v>51</v>
      </c>
      <c r="D27" s="201"/>
      <c r="E27" s="199"/>
      <c r="F27" s="205">
        <v>0.161</v>
      </c>
      <c r="G27" s="200">
        <v>20</v>
      </c>
      <c r="H27" s="201"/>
      <c r="I27" s="199"/>
      <c r="J27" s="205">
        <v>0.28100000000000003</v>
      </c>
      <c r="K27" s="200" t="s">
        <v>186</v>
      </c>
      <c r="L27" s="201"/>
      <c r="M27" s="199"/>
      <c r="N27" s="205">
        <v>0.51180000000000003</v>
      </c>
      <c r="O27" s="200"/>
      <c r="P27" s="201">
        <v>13</v>
      </c>
      <c r="Q27" s="199" t="s">
        <v>187</v>
      </c>
      <c r="R27" s="205">
        <v>1.125</v>
      </c>
      <c r="S27" s="202"/>
    </row>
    <row r="28" spans="1:19" ht="9.4499999999999993" customHeight="1">
      <c r="A28" s="199"/>
      <c r="B28" s="205">
        <v>6.8900000000000003E-2</v>
      </c>
      <c r="C28" s="200"/>
      <c r="D28" s="201">
        <v>1.75</v>
      </c>
      <c r="E28" s="199"/>
      <c r="F28" s="205">
        <v>0.16139999999999999</v>
      </c>
      <c r="G28" s="200"/>
      <c r="H28" s="201">
        <v>4.0999999999999996</v>
      </c>
      <c r="I28" s="199" t="s">
        <v>188</v>
      </c>
      <c r="J28" s="205">
        <v>0.28120000000000001</v>
      </c>
      <c r="K28" s="200"/>
      <c r="L28" s="201"/>
      <c r="M28" s="199" t="s">
        <v>189</v>
      </c>
      <c r="N28" s="205">
        <v>0.51559999999999995</v>
      </c>
      <c r="O28" s="200"/>
      <c r="P28" s="201"/>
      <c r="Q28" s="199" t="s">
        <v>190</v>
      </c>
      <c r="R28" s="205">
        <v>1.1406000000000001</v>
      </c>
      <c r="S28" s="202"/>
    </row>
    <row r="29" spans="1:19" ht="9.4499999999999993" customHeight="1">
      <c r="A29" s="199"/>
      <c r="B29" s="205">
        <v>7.0000000000000007E-2</v>
      </c>
      <c r="C29" s="200">
        <v>50</v>
      </c>
      <c r="D29" s="201"/>
      <c r="E29" s="199"/>
      <c r="F29" s="205">
        <v>0.16539999999999999</v>
      </c>
      <c r="G29" s="200"/>
      <c r="H29" s="201">
        <v>4.2</v>
      </c>
      <c r="I29" s="199"/>
      <c r="J29" s="205">
        <v>0.28350000000000003</v>
      </c>
      <c r="K29" s="200"/>
      <c r="L29" s="201">
        <v>7.2</v>
      </c>
      <c r="M29" s="199" t="s">
        <v>191</v>
      </c>
      <c r="N29" s="205">
        <v>0.53120000000000001</v>
      </c>
      <c r="O29" s="200"/>
      <c r="P29" s="201"/>
      <c r="Q29" s="199"/>
      <c r="R29" s="205">
        <v>1.1416999999999999</v>
      </c>
      <c r="S29" s="202">
        <v>29</v>
      </c>
    </row>
    <row r="30" spans="1:19" ht="9.4499999999999993" customHeight="1">
      <c r="A30" s="199"/>
      <c r="B30" s="205">
        <v>7.0900000000000005E-2</v>
      </c>
      <c r="C30" s="200"/>
      <c r="D30" s="201">
        <v>1.8</v>
      </c>
      <c r="E30" s="199"/>
      <c r="F30" s="205">
        <v>0.16600000000000001</v>
      </c>
      <c r="G30" s="200">
        <v>19</v>
      </c>
      <c r="H30" s="201"/>
      <c r="I30" s="199"/>
      <c r="J30" s="205">
        <v>0.28539999999999999</v>
      </c>
      <c r="K30" s="200"/>
      <c r="L30" s="201">
        <v>7.25</v>
      </c>
      <c r="M30" s="199"/>
      <c r="N30" s="205">
        <v>0.53149999999999997</v>
      </c>
      <c r="O30" s="200"/>
      <c r="P30" s="201">
        <v>13.5</v>
      </c>
      <c r="Q30" s="199" t="s">
        <v>192</v>
      </c>
      <c r="R30" s="205">
        <v>1.1561999999999999</v>
      </c>
      <c r="S30" s="202"/>
    </row>
    <row r="31" spans="1:19" ht="9.4499999999999993" customHeight="1">
      <c r="A31" s="199"/>
      <c r="B31" s="205">
        <v>7.2800000000000004E-2</v>
      </c>
      <c r="C31" s="200"/>
      <c r="D31" s="201">
        <v>1.85</v>
      </c>
      <c r="E31" s="199"/>
      <c r="F31" s="205">
        <v>0.1673</v>
      </c>
      <c r="G31" s="200"/>
      <c r="H31" s="201">
        <v>4.25</v>
      </c>
      <c r="I31" s="199"/>
      <c r="J31" s="205">
        <v>0.28739999999999999</v>
      </c>
      <c r="K31" s="200"/>
      <c r="L31" s="201">
        <v>7.3</v>
      </c>
      <c r="M31" s="199" t="s">
        <v>193</v>
      </c>
      <c r="N31" s="205">
        <v>0.54690000000000005</v>
      </c>
      <c r="O31" s="200"/>
      <c r="P31" s="201"/>
      <c r="Q31" s="199"/>
      <c r="R31" s="205">
        <v>1.1614</v>
      </c>
      <c r="S31" s="202">
        <v>29.5</v>
      </c>
    </row>
    <row r="32" spans="1:19" ht="9.4499999999999993" customHeight="1">
      <c r="A32" s="199"/>
      <c r="B32" s="205">
        <v>7.2999999999999995E-2</v>
      </c>
      <c r="C32" s="200">
        <v>49</v>
      </c>
      <c r="D32" s="201"/>
      <c r="E32" s="199"/>
      <c r="F32" s="205">
        <v>0.16930000000000001</v>
      </c>
      <c r="G32" s="200"/>
      <c r="H32" s="201">
        <v>4.3</v>
      </c>
      <c r="I32" s="199"/>
      <c r="J32" s="205">
        <v>0.28999999999999998</v>
      </c>
      <c r="K32" s="200" t="s">
        <v>194</v>
      </c>
      <c r="L32" s="201"/>
      <c r="M32" s="199"/>
      <c r="N32" s="205">
        <v>0.55120000000000002</v>
      </c>
      <c r="O32" s="200"/>
      <c r="P32" s="201">
        <v>14</v>
      </c>
      <c r="Q32" s="199" t="s">
        <v>195</v>
      </c>
      <c r="R32" s="205">
        <v>1.1718999999999999</v>
      </c>
      <c r="S32" s="202"/>
    </row>
    <row r="33" spans="1:19" ht="9.4499999999999993" customHeight="1">
      <c r="A33" s="199"/>
      <c r="B33" s="205">
        <v>7.4800000000000005E-2</v>
      </c>
      <c r="C33" s="200"/>
      <c r="D33" s="201">
        <v>1.9</v>
      </c>
      <c r="E33" s="199"/>
      <c r="F33" s="205">
        <v>0.16950000000000001</v>
      </c>
      <c r="G33" s="200">
        <v>18</v>
      </c>
      <c r="H33" s="201"/>
      <c r="I33" s="199"/>
      <c r="J33" s="205">
        <v>0.2913</v>
      </c>
      <c r="K33" s="200"/>
      <c r="L33" s="201">
        <v>7.4</v>
      </c>
      <c r="M33" s="199" t="s">
        <v>196</v>
      </c>
      <c r="N33" s="205">
        <v>0.5625</v>
      </c>
      <c r="O33" s="200"/>
      <c r="P33" s="201"/>
      <c r="Q33" s="199"/>
      <c r="R33" s="205">
        <v>1.1811</v>
      </c>
      <c r="S33" s="202">
        <v>30</v>
      </c>
    </row>
    <row r="34" spans="1:19" ht="9.4499999999999993" customHeight="1">
      <c r="A34" s="199"/>
      <c r="B34" s="205">
        <v>7.5999999999999998E-2</v>
      </c>
      <c r="C34" s="200">
        <v>48</v>
      </c>
      <c r="D34" s="201"/>
      <c r="E34" s="199" t="s">
        <v>197</v>
      </c>
      <c r="F34" s="205">
        <v>0.1719</v>
      </c>
      <c r="G34" s="200"/>
      <c r="H34" s="201"/>
      <c r="I34" s="199"/>
      <c r="J34" s="205">
        <v>0.29499999999999998</v>
      </c>
      <c r="K34" s="200" t="s">
        <v>198</v>
      </c>
      <c r="L34" s="201"/>
      <c r="M34" s="199"/>
      <c r="N34" s="205">
        <v>0.57089999999999996</v>
      </c>
      <c r="O34" s="200"/>
      <c r="P34" s="201">
        <v>14.5</v>
      </c>
      <c r="Q34" s="199" t="s">
        <v>199</v>
      </c>
      <c r="R34" s="205">
        <v>1.1875</v>
      </c>
      <c r="S34" s="202"/>
    </row>
    <row r="35" spans="1:19" ht="9.4499999999999993" customHeight="1">
      <c r="A35" s="199"/>
      <c r="B35" s="205">
        <v>7.6800000000000007E-2</v>
      </c>
      <c r="C35" s="200"/>
      <c r="D35" s="201">
        <v>1.95</v>
      </c>
      <c r="E35" s="199"/>
      <c r="F35" s="205">
        <v>0.17300000000000001</v>
      </c>
      <c r="G35" s="200">
        <v>17</v>
      </c>
      <c r="H35" s="201"/>
      <c r="I35" s="199"/>
      <c r="J35" s="205">
        <v>0.29530000000000001</v>
      </c>
      <c r="K35" s="200"/>
      <c r="L35" s="201">
        <v>7.5</v>
      </c>
      <c r="M35" s="199" t="s">
        <v>200</v>
      </c>
      <c r="N35" s="205">
        <v>0.57809999999999995</v>
      </c>
      <c r="O35" s="200"/>
      <c r="P35" s="201"/>
      <c r="Q35" s="199"/>
      <c r="R35" s="205">
        <v>1.2008000000000001</v>
      </c>
      <c r="S35" s="202">
        <v>30.5</v>
      </c>
    </row>
    <row r="36" spans="1:19" ht="9.4499999999999993" customHeight="1">
      <c r="A36" s="199" t="s">
        <v>201</v>
      </c>
      <c r="B36" s="205">
        <v>7.8100000000000003E-2</v>
      </c>
      <c r="C36" s="200"/>
      <c r="D36" s="201"/>
      <c r="E36" s="199"/>
      <c r="F36" s="205">
        <v>0.17319999999999999</v>
      </c>
      <c r="G36" s="200"/>
      <c r="H36" s="201">
        <v>4.4000000000000004</v>
      </c>
      <c r="I36" s="199" t="s">
        <v>202</v>
      </c>
      <c r="J36" s="205">
        <v>0.2969</v>
      </c>
      <c r="K36" s="200"/>
      <c r="L36" s="201"/>
      <c r="M36" s="199"/>
      <c r="N36" s="205">
        <v>0.59060000000000001</v>
      </c>
      <c r="O36" s="200"/>
      <c r="P36" s="201">
        <v>15</v>
      </c>
      <c r="Q36" s="199" t="s">
        <v>203</v>
      </c>
      <c r="R36" s="205">
        <v>1.2031000000000001</v>
      </c>
      <c r="S36" s="202"/>
    </row>
    <row r="37" spans="1:19" ht="9.4499999999999993" customHeight="1">
      <c r="A37" s="199"/>
      <c r="B37" s="205">
        <v>7.85E-2</v>
      </c>
      <c r="C37" s="200">
        <v>47</v>
      </c>
      <c r="D37" s="201"/>
      <c r="E37" s="199"/>
      <c r="F37" s="205">
        <v>0.17699999999999999</v>
      </c>
      <c r="G37" s="200">
        <v>16</v>
      </c>
      <c r="H37" s="201"/>
      <c r="I37" s="199"/>
      <c r="J37" s="205">
        <v>0.29920000000000002</v>
      </c>
      <c r="K37" s="200"/>
      <c r="L37" s="201">
        <v>7.6</v>
      </c>
      <c r="M37" s="199" t="s">
        <v>204</v>
      </c>
      <c r="N37" s="205">
        <v>0.59379999999999999</v>
      </c>
      <c r="O37" s="200"/>
      <c r="P37" s="201"/>
      <c r="Q37" s="199" t="s">
        <v>205</v>
      </c>
      <c r="R37" s="205">
        <v>1.2188000000000001</v>
      </c>
      <c r="S37" s="202"/>
    </row>
    <row r="38" spans="1:19" ht="9.4499999999999993" customHeight="1">
      <c r="A38" s="199"/>
      <c r="B38" s="205">
        <v>7.8700000000000006E-2</v>
      </c>
      <c r="C38" s="200"/>
      <c r="D38" s="201">
        <v>2</v>
      </c>
      <c r="E38" s="199"/>
      <c r="F38" s="205">
        <v>0.1772</v>
      </c>
      <c r="G38" s="200"/>
      <c r="H38" s="201">
        <v>4.5</v>
      </c>
      <c r="I38" s="199"/>
      <c r="J38" s="205">
        <v>0.30199999999999999</v>
      </c>
      <c r="K38" s="200" t="s">
        <v>206</v>
      </c>
      <c r="L38" s="201"/>
      <c r="M38" s="199" t="s">
        <v>207</v>
      </c>
      <c r="N38" s="205">
        <v>0.60940000000000005</v>
      </c>
      <c r="O38" s="200"/>
      <c r="P38" s="201"/>
      <c r="Q38" s="199"/>
      <c r="R38" s="205">
        <v>1.2204999999999999</v>
      </c>
      <c r="S38" s="202">
        <v>31</v>
      </c>
    </row>
    <row r="39" spans="1:19" ht="9.4499999999999993" customHeight="1">
      <c r="A39" s="199"/>
      <c r="B39" s="205">
        <v>8.0700000000000008E-2</v>
      </c>
      <c r="C39" s="200"/>
      <c r="D39" s="201">
        <v>2.0499999999999998</v>
      </c>
      <c r="E39" s="199"/>
      <c r="F39" s="205">
        <v>0.18</v>
      </c>
      <c r="G39" s="200">
        <v>15</v>
      </c>
      <c r="H39" s="201"/>
      <c r="I39" s="199"/>
      <c r="J39" s="205">
        <v>0.30309999999999998</v>
      </c>
      <c r="K39" s="200"/>
      <c r="L39" s="201">
        <v>7.7</v>
      </c>
      <c r="M39" s="199"/>
      <c r="N39" s="205">
        <v>0.61019999999999996</v>
      </c>
      <c r="O39" s="200"/>
      <c r="P39" s="201">
        <v>15.5</v>
      </c>
      <c r="Q39" s="199" t="s">
        <v>208</v>
      </c>
      <c r="R39" s="205">
        <v>1.2343999999999999</v>
      </c>
      <c r="S39" s="202"/>
    </row>
    <row r="40" spans="1:19" ht="9.4499999999999993" customHeight="1">
      <c r="A40" s="199"/>
      <c r="B40" s="205">
        <v>8.1000000000000003E-2</v>
      </c>
      <c r="C40" s="200">
        <v>46</v>
      </c>
      <c r="D40" s="201"/>
      <c r="E40" s="199"/>
      <c r="F40" s="205">
        <v>0.18110000000000001</v>
      </c>
      <c r="G40" s="200"/>
      <c r="H40" s="201">
        <v>4.5999999999999996</v>
      </c>
      <c r="I40" s="199"/>
      <c r="J40" s="205">
        <v>0.30509999999999998</v>
      </c>
      <c r="K40" s="200"/>
      <c r="L40" s="201">
        <v>7.75</v>
      </c>
      <c r="M40" s="199" t="s">
        <v>209</v>
      </c>
      <c r="N40" s="205">
        <v>0.625</v>
      </c>
      <c r="O40" s="200"/>
      <c r="P40" s="201"/>
      <c r="Q40" s="199"/>
      <c r="R40" s="205">
        <v>1.2402</v>
      </c>
      <c r="S40" s="202">
        <v>31.5</v>
      </c>
    </row>
    <row r="41" spans="1:19" ht="9.4499999999999993" customHeight="1">
      <c r="A41" s="199"/>
      <c r="B41" s="205">
        <v>8.2000000000000003E-2</v>
      </c>
      <c r="C41" s="200">
        <v>45</v>
      </c>
      <c r="D41" s="201"/>
      <c r="E41" s="199"/>
      <c r="F41" s="205">
        <v>0.182</v>
      </c>
      <c r="G41" s="200">
        <v>14</v>
      </c>
      <c r="H41" s="201"/>
      <c r="I41" s="199"/>
      <c r="J41" s="205">
        <v>0.30709999999999998</v>
      </c>
      <c r="K41" s="200"/>
      <c r="L41" s="201">
        <v>7.8</v>
      </c>
      <c r="M41" s="199"/>
      <c r="N41" s="205">
        <v>0.62990000000000002</v>
      </c>
      <c r="O41" s="200"/>
      <c r="P41" s="201">
        <v>16</v>
      </c>
      <c r="Q41" s="199" t="s">
        <v>210</v>
      </c>
      <c r="R41" s="205">
        <v>1.25</v>
      </c>
      <c r="S41" s="202"/>
    </row>
    <row r="42" spans="1:19" ht="9.4499999999999993" customHeight="1">
      <c r="A42" s="199"/>
      <c r="B42" s="205">
        <v>8.270000000000001E-2</v>
      </c>
      <c r="C42" s="200"/>
      <c r="D42" s="201">
        <v>2.1</v>
      </c>
      <c r="E42" s="199"/>
      <c r="F42" s="205">
        <v>0.185</v>
      </c>
      <c r="G42" s="200">
        <v>13</v>
      </c>
      <c r="H42" s="201">
        <v>4.7</v>
      </c>
      <c r="I42" s="199"/>
      <c r="J42" s="205">
        <v>0.311</v>
      </c>
      <c r="K42" s="200"/>
      <c r="L42" s="201">
        <v>7.9</v>
      </c>
      <c r="M42" s="199" t="s">
        <v>211</v>
      </c>
      <c r="N42" s="205">
        <v>0.64059999999999995</v>
      </c>
      <c r="O42" s="200"/>
      <c r="P42" s="201"/>
      <c r="Q42" s="199"/>
      <c r="R42" s="205">
        <v>1.2598</v>
      </c>
      <c r="S42" s="202">
        <v>32</v>
      </c>
    </row>
    <row r="43" spans="1:19" ht="9.4499999999999993" customHeight="1">
      <c r="A43" s="199"/>
      <c r="B43" s="205">
        <v>8.4600000000000009E-2</v>
      </c>
      <c r="C43" s="200"/>
      <c r="D43" s="201">
        <v>2.15</v>
      </c>
      <c r="E43" s="199"/>
      <c r="F43" s="205">
        <v>0.187</v>
      </c>
      <c r="G43" s="200"/>
      <c r="H43" s="201">
        <v>4.75</v>
      </c>
      <c r="I43" s="199" t="s">
        <v>212</v>
      </c>
      <c r="J43" s="205">
        <v>0.3125</v>
      </c>
      <c r="K43" s="200"/>
      <c r="L43" s="201"/>
      <c r="M43" s="199"/>
      <c r="N43" s="205">
        <v>0.64959999999999996</v>
      </c>
      <c r="O43" s="200"/>
      <c r="P43" s="201">
        <v>16.5</v>
      </c>
      <c r="Q43" s="199" t="s">
        <v>213</v>
      </c>
      <c r="R43" s="205">
        <v>1.2656000000000001</v>
      </c>
      <c r="S43" s="202"/>
    </row>
    <row r="44" spans="1:19" ht="9.4499999999999993" customHeight="1">
      <c r="A44" s="199"/>
      <c r="B44" s="205">
        <v>8.6000000000000007E-2</v>
      </c>
      <c r="C44" s="200">
        <v>44</v>
      </c>
      <c r="D44" s="201"/>
      <c r="E44" s="199" t="s">
        <v>214</v>
      </c>
      <c r="F44" s="205">
        <v>0.1875</v>
      </c>
      <c r="G44" s="200"/>
      <c r="H44" s="201"/>
      <c r="I44" s="199"/>
      <c r="J44" s="205">
        <v>0.315</v>
      </c>
      <c r="K44" s="200"/>
      <c r="L44" s="201">
        <v>8</v>
      </c>
      <c r="M44" s="199" t="s">
        <v>215</v>
      </c>
      <c r="N44" s="205">
        <v>0.65620000000000001</v>
      </c>
      <c r="O44" s="200"/>
      <c r="P44" s="201"/>
      <c r="Q44" s="199"/>
      <c r="R44" s="205">
        <v>1.2795000000000001</v>
      </c>
      <c r="S44" s="202">
        <v>32.5</v>
      </c>
    </row>
    <row r="45" spans="1:19" ht="9.4499999999999993" customHeight="1">
      <c r="A45" s="199"/>
      <c r="B45" s="205">
        <v>8.660000000000001E-2</v>
      </c>
      <c r="C45" s="200"/>
      <c r="D45" s="201">
        <v>2.2000000000000002</v>
      </c>
      <c r="E45" s="199"/>
      <c r="F45" s="205">
        <v>0.189</v>
      </c>
      <c r="G45" s="200">
        <v>12</v>
      </c>
      <c r="H45" s="201">
        <v>4.8</v>
      </c>
      <c r="I45" s="199"/>
      <c r="J45" s="205">
        <v>0.316</v>
      </c>
      <c r="K45" s="200" t="s">
        <v>216</v>
      </c>
      <c r="L45" s="201"/>
      <c r="M45" s="199"/>
      <c r="N45" s="205">
        <v>0.66930000000000001</v>
      </c>
      <c r="O45" s="200"/>
      <c r="P45" s="201">
        <v>17</v>
      </c>
      <c r="Q45" s="199" t="s">
        <v>217</v>
      </c>
      <c r="R45" s="205">
        <v>1.2811999999999999</v>
      </c>
      <c r="S45" s="202"/>
    </row>
    <row r="46" spans="1:19" ht="9.4499999999999993" customHeight="1">
      <c r="A46" s="199"/>
      <c r="B46" s="205">
        <v>8.8599999999999998E-2</v>
      </c>
      <c r="C46" s="200"/>
      <c r="D46" s="201">
        <v>2.25</v>
      </c>
      <c r="E46" s="199"/>
      <c r="F46" s="205">
        <v>0.191</v>
      </c>
      <c r="G46" s="200">
        <v>11</v>
      </c>
      <c r="H46" s="201"/>
      <c r="I46" s="199"/>
      <c r="J46" s="205">
        <v>0.31890000000000002</v>
      </c>
      <c r="K46" s="200"/>
      <c r="L46" s="201">
        <v>8.1</v>
      </c>
      <c r="M46" s="199" t="s">
        <v>218</v>
      </c>
      <c r="N46" s="205">
        <v>0.67190000000000005</v>
      </c>
      <c r="O46" s="200"/>
      <c r="P46" s="201"/>
      <c r="Q46" s="199" t="s">
        <v>219</v>
      </c>
      <c r="R46" s="205">
        <v>1.2968999999999999</v>
      </c>
      <c r="S46" s="202"/>
    </row>
    <row r="47" spans="1:19" ht="9.4499999999999993" customHeight="1">
      <c r="A47" s="199"/>
      <c r="B47" s="205">
        <v>8.8999999999999996E-2</v>
      </c>
      <c r="C47" s="200">
        <v>43</v>
      </c>
      <c r="D47" s="201"/>
      <c r="E47" s="199"/>
      <c r="F47" s="205">
        <v>0.19289999999999999</v>
      </c>
      <c r="G47" s="200"/>
      <c r="H47" s="201">
        <v>4.9000000000000004</v>
      </c>
      <c r="I47" s="199"/>
      <c r="J47" s="205">
        <v>0.32279999999999998</v>
      </c>
      <c r="K47" s="200"/>
      <c r="L47" s="201">
        <v>8.1999999999999993</v>
      </c>
      <c r="M47" s="199" t="s">
        <v>220</v>
      </c>
      <c r="N47" s="205">
        <v>0.6875</v>
      </c>
      <c r="O47" s="200"/>
      <c r="P47" s="201"/>
      <c r="Q47" s="199"/>
      <c r="R47" s="205">
        <v>1.2991999999999999</v>
      </c>
      <c r="S47" s="202">
        <v>33</v>
      </c>
    </row>
    <row r="48" spans="1:19" ht="9.4499999999999993" customHeight="1">
      <c r="A48" s="199"/>
      <c r="B48" s="205">
        <v>9.06E-2</v>
      </c>
      <c r="C48" s="200"/>
      <c r="D48" s="201">
        <v>2.2999999999999998</v>
      </c>
      <c r="E48" s="199"/>
      <c r="F48" s="205">
        <v>0.19350000000000001</v>
      </c>
      <c r="G48" s="200">
        <v>10</v>
      </c>
      <c r="H48" s="201"/>
      <c r="I48" s="199"/>
      <c r="J48" s="205">
        <v>0.32300000000000001</v>
      </c>
      <c r="K48" s="200" t="s">
        <v>221</v>
      </c>
      <c r="L48" s="201"/>
      <c r="M48" s="199"/>
      <c r="N48" s="205">
        <v>0.68900000000000006</v>
      </c>
      <c r="O48" s="200"/>
      <c r="P48" s="201">
        <v>17.5</v>
      </c>
      <c r="Q48" s="199" t="s">
        <v>222</v>
      </c>
      <c r="R48" s="205">
        <v>1.3125</v>
      </c>
      <c r="S48" s="202"/>
    </row>
    <row r="49" spans="1:19" ht="9.4499999999999993" customHeight="1">
      <c r="A49" s="199"/>
      <c r="B49" s="205">
        <v>9.2499999999999999E-2</v>
      </c>
      <c r="C49" s="200"/>
      <c r="D49" s="201">
        <v>2.35</v>
      </c>
      <c r="E49" s="199"/>
      <c r="F49" s="205">
        <v>0.19600000000000001</v>
      </c>
      <c r="G49" s="200">
        <v>9</v>
      </c>
      <c r="H49" s="201"/>
      <c r="I49" s="199"/>
      <c r="J49" s="205">
        <v>0.32479999999999998</v>
      </c>
      <c r="K49" s="200"/>
      <c r="L49" s="201">
        <v>8.25</v>
      </c>
      <c r="M49" s="199" t="s">
        <v>223</v>
      </c>
      <c r="N49" s="205">
        <v>0.70309999999999995</v>
      </c>
      <c r="O49" s="200"/>
      <c r="P49" s="201"/>
      <c r="Q49" s="199"/>
      <c r="R49" s="205">
        <v>1.3189</v>
      </c>
      <c r="S49" s="202">
        <v>33.5</v>
      </c>
    </row>
    <row r="50" spans="1:19" ht="9.4499999999999993" customHeight="1">
      <c r="A50" s="199"/>
      <c r="B50" s="205">
        <v>9.35E-2</v>
      </c>
      <c r="C50" s="200">
        <v>42</v>
      </c>
      <c r="D50" s="201"/>
      <c r="E50" s="199"/>
      <c r="F50" s="205">
        <v>0.19689999999999999</v>
      </c>
      <c r="G50" s="200"/>
      <c r="H50" s="201">
        <v>5</v>
      </c>
      <c r="I50" s="199"/>
      <c r="J50" s="205">
        <v>0.32679999999999998</v>
      </c>
      <c r="K50" s="200"/>
      <c r="L50" s="201">
        <v>8.3000000000000007</v>
      </c>
      <c r="M50" s="199"/>
      <c r="N50" s="205">
        <v>0.7087</v>
      </c>
      <c r="O50" s="200"/>
      <c r="P50" s="201">
        <v>18</v>
      </c>
      <c r="Q50" s="199" t="s">
        <v>224</v>
      </c>
      <c r="R50" s="205">
        <v>1.3281000000000001</v>
      </c>
      <c r="S50" s="202"/>
    </row>
    <row r="51" spans="1:19" ht="9.4499999999999993" customHeight="1">
      <c r="A51" s="199" t="s">
        <v>225</v>
      </c>
      <c r="B51" s="205">
        <v>9.3800000000000008E-2</v>
      </c>
      <c r="C51" s="200"/>
      <c r="D51" s="201"/>
      <c r="E51" s="199"/>
      <c r="F51" s="205">
        <v>0.19900000000000001</v>
      </c>
      <c r="G51" s="200">
        <v>8</v>
      </c>
      <c r="H51" s="201"/>
      <c r="I51" s="199" t="s">
        <v>226</v>
      </c>
      <c r="J51" s="205">
        <v>0.3281</v>
      </c>
      <c r="K51" s="200"/>
      <c r="L51" s="201"/>
      <c r="M51" s="199" t="s">
        <v>918</v>
      </c>
      <c r="N51" s="205">
        <v>0.71879999999999999</v>
      </c>
      <c r="O51" s="200"/>
      <c r="P51" s="201"/>
      <c r="Q51" s="199"/>
      <c r="R51" s="205">
        <v>1.3386</v>
      </c>
      <c r="S51" s="202">
        <v>34</v>
      </c>
    </row>
    <row r="52" spans="1:19" ht="9.4499999999999993" customHeight="1">
      <c r="A52" s="199"/>
      <c r="B52" s="205">
        <v>9.4500000000000001E-2</v>
      </c>
      <c r="C52" s="200"/>
      <c r="D52" s="201">
        <v>2.4</v>
      </c>
      <c r="E52" s="199"/>
      <c r="F52" s="205">
        <v>0.20080000000000001</v>
      </c>
      <c r="G52" s="200"/>
      <c r="H52" s="201">
        <v>5.0999999999999996</v>
      </c>
      <c r="I52" s="199"/>
      <c r="J52" s="205">
        <v>0.33069999999999999</v>
      </c>
      <c r="K52" s="200"/>
      <c r="L52" s="201">
        <v>8.4</v>
      </c>
      <c r="M52" s="199"/>
      <c r="N52" s="205">
        <v>0.72829999999999995</v>
      </c>
      <c r="O52" s="200"/>
      <c r="P52" s="201">
        <v>18.5</v>
      </c>
      <c r="Q52" s="199" t="s">
        <v>919</v>
      </c>
      <c r="R52" s="205">
        <v>1.3438000000000001</v>
      </c>
      <c r="S52" s="202"/>
    </row>
    <row r="53" spans="1:19" ht="9.4499999999999993" customHeight="1">
      <c r="A53" s="199"/>
      <c r="B53" s="205">
        <v>9.6000000000000002E-2</v>
      </c>
      <c r="C53" s="200">
        <v>41</v>
      </c>
      <c r="D53" s="201"/>
      <c r="E53" s="199"/>
      <c r="F53" s="205">
        <v>0.20100000000000001</v>
      </c>
      <c r="G53" s="200">
        <v>7</v>
      </c>
      <c r="H53" s="201"/>
      <c r="I53" s="199"/>
      <c r="J53" s="205">
        <v>0.33200000000000002</v>
      </c>
      <c r="K53" s="200" t="s">
        <v>920</v>
      </c>
      <c r="L53" s="201"/>
      <c r="M53" s="199" t="s">
        <v>921</v>
      </c>
      <c r="N53" s="205">
        <v>0.73440000000000005</v>
      </c>
      <c r="O53" s="200"/>
      <c r="P53" s="201"/>
      <c r="Q53" s="199"/>
      <c r="R53" s="205">
        <v>1.3583000000000001</v>
      </c>
      <c r="S53" s="202">
        <v>34.5</v>
      </c>
    </row>
    <row r="54" spans="1:19" ht="9.4499999999999993" customHeight="1">
      <c r="A54" s="199"/>
      <c r="B54" s="205">
        <v>9.6500000000000002E-2</v>
      </c>
      <c r="C54" s="200"/>
      <c r="D54" s="201">
        <v>2.4500000000000002</v>
      </c>
      <c r="E54" s="199" t="s">
        <v>922</v>
      </c>
      <c r="F54" s="205">
        <v>0.2031</v>
      </c>
      <c r="G54" s="200"/>
      <c r="H54" s="201"/>
      <c r="I54" s="199"/>
      <c r="J54" s="205">
        <v>0.33460000000000001</v>
      </c>
      <c r="K54" s="200"/>
      <c r="L54" s="201">
        <v>8.5</v>
      </c>
      <c r="M54" s="199"/>
      <c r="N54" s="205">
        <v>0.748</v>
      </c>
      <c r="O54" s="200"/>
      <c r="P54" s="201">
        <v>19</v>
      </c>
      <c r="Q54" s="199" t="s">
        <v>923</v>
      </c>
      <c r="R54" s="205">
        <v>1.3593999999999999</v>
      </c>
      <c r="S54" s="202"/>
    </row>
    <row r="55" spans="1:19" ht="9.4499999999999993" customHeight="1">
      <c r="A55" s="199"/>
      <c r="B55" s="205">
        <v>9.8000000000000004E-2</v>
      </c>
      <c r="C55" s="200">
        <v>40</v>
      </c>
      <c r="D55" s="201"/>
      <c r="E55" s="199"/>
      <c r="F55" s="205">
        <v>0.20400000000000001</v>
      </c>
      <c r="G55" s="200">
        <v>6</v>
      </c>
      <c r="H55" s="201"/>
      <c r="I55" s="199"/>
      <c r="J55" s="205">
        <v>0.33860000000000001</v>
      </c>
      <c r="K55" s="200"/>
      <c r="L55" s="201">
        <v>8.6</v>
      </c>
      <c r="M55" s="199" t="s">
        <v>924</v>
      </c>
      <c r="N55" s="205">
        <v>0.75</v>
      </c>
      <c r="O55" s="200"/>
      <c r="P55" s="201"/>
      <c r="Q55" s="199" t="s">
        <v>925</v>
      </c>
      <c r="R55" s="205">
        <v>1.375</v>
      </c>
      <c r="S55" s="202"/>
    </row>
    <row r="56" spans="1:19" ht="9.4499999999999993" customHeight="1">
      <c r="A56" s="199"/>
      <c r="B56" s="205">
        <v>9.8400000000000001E-2</v>
      </c>
      <c r="C56" s="200"/>
      <c r="D56" s="201">
        <v>2.5</v>
      </c>
      <c r="E56" s="199"/>
      <c r="F56" s="205">
        <v>0.20469999999999999</v>
      </c>
      <c r="G56" s="200"/>
      <c r="H56" s="201">
        <v>5.2</v>
      </c>
      <c r="I56" s="199"/>
      <c r="J56" s="205">
        <v>0.33900000000000002</v>
      </c>
      <c r="K56" s="200" t="s">
        <v>926</v>
      </c>
      <c r="L56" s="201"/>
      <c r="M56" s="199" t="s">
        <v>927</v>
      </c>
      <c r="N56" s="205">
        <v>0.76559999999999995</v>
      </c>
      <c r="O56" s="200"/>
      <c r="P56" s="201"/>
      <c r="Q56" s="199"/>
      <c r="R56" s="205">
        <v>1.3779999999999999</v>
      </c>
      <c r="S56" s="202">
        <v>35</v>
      </c>
    </row>
    <row r="57" spans="1:19" ht="9.4499999999999993" customHeight="1">
      <c r="A57" s="199"/>
      <c r="B57" s="205">
        <v>9.9500000000000005E-2</v>
      </c>
      <c r="C57" s="200">
        <v>39</v>
      </c>
      <c r="D57" s="201"/>
      <c r="E57" s="199"/>
      <c r="F57" s="205">
        <v>0.20550000000000002</v>
      </c>
      <c r="G57" s="200">
        <v>5</v>
      </c>
      <c r="H57" s="201"/>
      <c r="I57" s="199"/>
      <c r="J57" s="205">
        <v>0.34250000000000003</v>
      </c>
      <c r="K57" s="200"/>
      <c r="L57" s="201">
        <v>8.6999999999999993</v>
      </c>
      <c r="M57" s="199"/>
      <c r="N57" s="205">
        <v>0.76770000000000005</v>
      </c>
      <c r="O57" s="200"/>
      <c r="P57" s="201">
        <v>19.5</v>
      </c>
      <c r="Q57" s="199" t="s">
        <v>928</v>
      </c>
      <c r="R57" s="205">
        <v>1.3906000000000001</v>
      </c>
      <c r="S57" s="202"/>
    </row>
    <row r="58" spans="1:19" ht="9.4499999999999993" customHeight="1">
      <c r="A58" s="199"/>
      <c r="B58" s="205">
        <v>0.10150000000000001</v>
      </c>
      <c r="C58" s="200">
        <v>38</v>
      </c>
      <c r="D58" s="201"/>
      <c r="E58" s="199"/>
      <c r="F58" s="205">
        <v>0.20669999999999999</v>
      </c>
      <c r="G58" s="200"/>
      <c r="H58" s="201">
        <v>5.25</v>
      </c>
      <c r="I58" s="199" t="s">
        <v>929</v>
      </c>
      <c r="J58" s="205">
        <v>0.34379999999999999</v>
      </c>
      <c r="K58" s="200"/>
      <c r="L58" s="201"/>
      <c r="M58" s="199" t="s">
        <v>930</v>
      </c>
      <c r="N58" s="205">
        <v>0.78120000000000001</v>
      </c>
      <c r="O58" s="200"/>
      <c r="P58" s="201"/>
      <c r="Q58" s="199"/>
      <c r="R58" s="205">
        <v>1.3976</v>
      </c>
      <c r="S58" s="202">
        <v>35.5</v>
      </c>
    </row>
    <row r="59" spans="1:19" ht="9.4499999999999993" customHeight="1">
      <c r="A59" s="199"/>
      <c r="B59" s="205">
        <v>0.1024</v>
      </c>
      <c r="C59" s="200"/>
      <c r="D59" s="201">
        <v>2.6</v>
      </c>
      <c r="E59" s="199"/>
      <c r="F59" s="205">
        <v>0.2087</v>
      </c>
      <c r="G59" s="200"/>
      <c r="H59" s="201">
        <v>5.3</v>
      </c>
      <c r="I59" s="199"/>
      <c r="J59" s="205">
        <v>0.34450000000000003</v>
      </c>
      <c r="K59" s="200"/>
      <c r="L59" s="201">
        <v>8.75</v>
      </c>
      <c r="M59" s="199"/>
      <c r="N59" s="205">
        <v>0.78739999999999999</v>
      </c>
      <c r="O59" s="200"/>
      <c r="P59" s="201">
        <v>20</v>
      </c>
      <c r="Q59" s="199" t="s">
        <v>931</v>
      </c>
      <c r="R59" s="205">
        <v>1.4061999999999999</v>
      </c>
      <c r="S59" s="202"/>
    </row>
    <row r="60" spans="1:19" ht="9.4499999999999993" customHeight="1">
      <c r="A60" s="199"/>
      <c r="B60" s="205">
        <v>0.10400000000000001</v>
      </c>
      <c r="C60" s="200">
        <v>37</v>
      </c>
      <c r="D60" s="201"/>
      <c r="E60" s="199"/>
      <c r="F60" s="205">
        <v>0.20899999999999999</v>
      </c>
      <c r="G60" s="200">
        <v>4</v>
      </c>
      <c r="H60" s="201"/>
      <c r="I60" s="199"/>
      <c r="J60" s="205">
        <v>0.34650000000000003</v>
      </c>
      <c r="K60" s="200"/>
      <c r="L60" s="201">
        <v>8.8000000000000007</v>
      </c>
      <c r="M60" s="199" t="s">
        <v>932</v>
      </c>
      <c r="N60" s="205">
        <v>0.79690000000000005</v>
      </c>
      <c r="O60" s="200"/>
      <c r="P60" s="201"/>
      <c r="Q60" s="199"/>
      <c r="R60" s="205">
        <v>1.4173</v>
      </c>
      <c r="S60" s="202">
        <v>36</v>
      </c>
    </row>
    <row r="61" spans="1:19" ht="9.4499999999999993" customHeight="1">
      <c r="A61" s="199"/>
      <c r="B61" s="205">
        <v>0.10630000000000001</v>
      </c>
      <c r="C61" s="200"/>
      <c r="D61" s="201">
        <v>2.7</v>
      </c>
      <c r="E61" s="199"/>
      <c r="F61" s="205">
        <v>0.21260000000000001</v>
      </c>
      <c r="G61" s="200"/>
      <c r="H61" s="201">
        <v>5.4</v>
      </c>
      <c r="I61" s="199"/>
      <c r="J61" s="205">
        <v>0.34800000000000003</v>
      </c>
      <c r="K61" s="200" t="s">
        <v>933</v>
      </c>
      <c r="L61" s="201"/>
      <c r="M61" s="199"/>
      <c r="N61" s="205">
        <v>0.80710000000000004</v>
      </c>
      <c r="O61" s="200"/>
      <c r="P61" s="201">
        <v>20.5</v>
      </c>
      <c r="Q61" s="199" t="s">
        <v>934</v>
      </c>
      <c r="R61" s="205">
        <v>1.4218999999999999</v>
      </c>
      <c r="S61" s="202"/>
    </row>
    <row r="62" spans="1:19" ht="9.4499999999999993" customHeight="1">
      <c r="A62" s="199"/>
      <c r="B62" s="205">
        <v>0.1065</v>
      </c>
      <c r="C62" s="200">
        <v>36</v>
      </c>
      <c r="D62" s="201"/>
      <c r="E62" s="199"/>
      <c r="F62" s="205">
        <v>0.21299999999999999</v>
      </c>
      <c r="G62" s="200">
        <v>3</v>
      </c>
      <c r="H62" s="201"/>
      <c r="I62" s="199"/>
      <c r="J62" s="205">
        <v>0.35039999999999999</v>
      </c>
      <c r="K62" s="200"/>
      <c r="L62" s="201">
        <v>8.9</v>
      </c>
      <c r="M62" s="199" t="s">
        <v>935</v>
      </c>
      <c r="N62" s="205">
        <v>0.8125</v>
      </c>
      <c r="O62" s="200"/>
      <c r="P62" s="201"/>
      <c r="Q62" s="199"/>
      <c r="R62" s="205">
        <v>1.4370000000000001</v>
      </c>
      <c r="S62" s="202">
        <v>36.5</v>
      </c>
    </row>
    <row r="63" spans="1:19" ht="9.4499999999999993" customHeight="1">
      <c r="A63" s="199"/>
      <c r="B63" s="205">
        <v>0.10829999999999999</v>
      </c>
      <c r="C63" s="200"/>
      <c r="D63" s="201">
        <v>2.75</v>
      </c>
      <c r="E63" s="199"/>
      <c r="F63" s="205">
        <v>0.2165</v>
      </c>
      <c r="G63" s="200"/>
      <c r="H63" s="201">
        <v>5.5</v>
      </c>
      <c r="I63" s="199"/>
      <c r="J63" s="205">
        <v>0.3543</v>
      </c>
      <c r="K63" s="200"/>
      <c r="L63" s="201">
        <v>9</v>
      </c>
      <c r="M63" s="199"/>
      <c r="N63" s="205">
        <v>0.82679999999999998</v>
      </c>
      <c r="O63" s="200"/>
      <c r="P63" s="201">
        <v>21</v>
      </c>
      <c r="Q63" s="199" t="s">
        <v>936</v>
      </c>
      <c r="R63" s="205">
        <v>1.4375</v>
      </c>
      <c r="S63" s="202"/>
    </row>
    <row r="64" spans="1:19" ht="9.4499999999999993" customHeight="1">
      <c r="A64" s="199" t="s">
        <v>937</v>
      </c>
      <c r="B64" s="205">
        <v>0.1094</v>
      </c>
      <c r="C64" s="200"/>
      <c r="D64" s="201"/>
      <c r="E64" s="199" t="s">
        <v>938</v>
      </c>
      <c r="F64" s="205">
        <v>0.21879999999999999</v>
      </c>
      <c r="G64" s="200"/>
      <c r="H64" s="201"/>
      <c r="I64" s="199"/>
      <c r="J64" s="205">
        <v>0.35799999999999998</v>
      </c>
      <c r="K64" s="200" t="s">
        <v>939</v>
      </c>
      <c r="L64" s="201"/>
      <c r="M64" s="199" t="s">
        <v>940</v>
      </c>
      <c r="N64" s="205">
        <v>0.82809999999999995</v>
      </c>
      <c r="O64" s="200"/>
      <c r="P64" s="201"/>
      <c r="Q64" s="199" t="s">
        <v>941</v>
      </c>
      <c r="R64" s="205">
        <v>1.4531000000000001</v>
      </c>
      <c r="S64" s="202"/>
    </row>
    <row r="65" spans="1:19" ht="9.4499999999999993" customHeight="1">
      <c r="A65" s="199"/>
      <c r="B65" s="205">
        <v>0.11</v>
      </c>
      <c r="C65" s="200">
        <v>35</v>
      </c>
      <c r="D65" s="201"/>
      <c r="E65" s="199"/>
      <c r="F65" s="205">
        <v>0.2205</v>
      </c>
      <c r="G65" s="200"/>
      <c r="H65" s="201">
        <v>5.6</v>
      </c>
      <c r="I65" s="199"/>
      <c r="J65" s="205">
        <v>0.35830000000000001</v>
      </c>
      <c r="K65" s="200"/>
      <c r="L65" s="201">
        <v>9.1</v>
      </c>
      <c r="M65" s="199" t="s">
        <v>942</v>
      </c>
      <c r="N65" s="205">
        <v>0.84379999999999999</v>
      </c>
      <c r="O65" s="200"/>
      <c r="P65" s="201"/>
      <c r="Q65" s="199"/>
      <c r="R65" s="205">
        <v>1.4567000000000001</v>
      </c>
      <c r="S65" s="202">
        <v>37</v>
      </c>
    </row>
    <row r="66" spans="1:19" ht="9.4499999999999993" customHeight="1">
      <c r="A66" s="199"/>
      <c r="B66" s="205">
        <v>0.11020000000000001</v>
      </c>
      <c r="C66" s="200"/>
      <c r="D66" s="201">
        <v>2.8</v>
      </c>
      <c r="E66" s="199"/>
      <c r="F66" s="205">
        <v>0.221</v>
      </c>
      <c r="G66" s="200">
        <v>2</v>
      </c>
      <c r="H66" s="201"/>
      <c r="I66" s="199" t="s">
        <v>943</v>
      </c>
      <c r="J66" s="205">
        <v>0.3594</v>
      </c>
      <c r="K66" s="200"/>
      <c r="L66" s="201"/>
      <c r="M66" s="199"/>
      <c r="N66" s="205">
        <v>0.84650000000000003</v>
      </c>
      <c r="O66" s="200"/>
      <c r="P66" s="201">
        <v>21.5</v>
      </c>
      <c r="Q66" s="199" t="s">
        <v>944</v>
      </c>
      <c r="R66" s="205">
        <v>1.4688000000000001</v>
      </c>
      <c r="S66" s="202"/>
    </row>
    <row r="67" spans="1:19" ht="9.4499999999999993" customHeight="1">
      <c r="A67" s="199"/>
      <c r="B67" s="205">
        <v>0.111</v>
      </c>
      <c r="C67" s="200">
        <v>34</v>
      </c>
      <c r="D67" s="201"/>
      <c r="E67" s="199"/>
      <c r="F67" s="205">
        <v>0.22439999999999999</v>
      </c>
      <c r="G67" s="200"/>
      <c r="H67" s="201">
        <v>5.7</v>
      </c>
      <c r="I67" s="199"/>
      <c r="J67" s="205">
        <v>0.36220000000000002</v>
      </c>
      <c r="K67" s="200"/>
      <c r="L67" s="201">
        <v>9.1999999999999993</v>
      </c>
      <c r="M67" s="199" t="s">
        <v>945</v>
      </c>
      <c r="N67" s="205">
        <v>0.85940000000000005</v>
      </c>
      <c r="O67" s="200"/>
      <c r="P67" s="201"/>
      <c r="Q67" s="199"/>
      <c r="R67" s="205">
        <v>1.4763999999999999</v>
      </c>
      <c r="S67" s="202">
        <v>37.5</v>
      </c>
    </row>
    <row r="68" spans="1:19" ht="9.4499999999999993" customHeight="1">
      <c r="A68" s="199"/>
      <c r="B68" s="205">
        <v>0.113</v>
      </c>
      <c r="C68" s="200">
        <v>33</v>
      </c>
      <c r="D68" s="201"/>
      <c r="E68" s="199"/>
      <c r="F68" s="205">
        <v>0.22639999999999999</v>
      </c>
      <c r="G68" s="200"/>
      <c r="H68" s="201">
        <v>5.75</v>
      </c>
      <c r="I68" s="199"/>
      <c r="J68" s="205">
        <v>0.36420000000000002</v>
      </c>
      <c r="K68" s="200"/>
      <c r="L68" s="201">
        <v>9.25</v>
      </c>
      <c r="M68" s="199"/>
      <c r="N68" s="205">
        <v>0.86609999999999998</v>
      </c>
      <c r="O68" s="200"/>
      <c r="P68" s="201">
        <v>22</v>
      </c>
      <c r="Q68" s="199" t="s">
        <v>946</v>
      </c>
      <c r="R68" s="205">
        <v>1.4843999999999999</v>
      </c>
      <c r="S68" s="202"/>
    </row>
    <row r="69" spans="1:19" ht="9.4499999999999993" customHeight="1">
      <c r="A69" s="199"/>
      <c r="B69" s="205">
        <v>0.1142</v>
      </c>
      <c r="C69" s="200"/>
      <c r="D69" s="201">
        <v>2.9</v>
      </c>
      <c r="E69" s="199"/>
      <c r="F69" s="205">
        <v>0.22800000000000001</v>
      </c>
      <c r="G69" s="200">
        <v>1</v>
      </c>
      <c r="H69" s="201"/>
      <c r="I69" s="199"/>
      <c r="J69" s="205">
        <v>0.36609999999999998</v>
      </c>
      <c r="K69" s="200"/>
      <c r="L69" s="201">
        <v>9.3000000000000007</v>
      </c>
      <c r="M69" s="199" t="s">
        <v>947</v>
      </c>
      <c r="N69" s="205">
        <v>0.875</v>
      </c>
      <c r="O69" s="200"/>
      <c r="P69" s="201"/>
      <c r="Q69" s="199"/>
      <c r="R69" s="205">
        <v>1.4961</v>
      </c>
      <c r="S69" s="202">
        <v>38</v>
      </c>
    </row>
    <row r="70" spans="1:19" ht="9.4499999999999993" customHeight="1">
      <c r="A70" s="199"/>
      <c r="B70" s="205">
        <v>0.11600000000000001</v>
      </c>
      <c r="C70" s="200">
        <v>32</v>
      </c>
      <c r="D70" s="201"/>
      <c r="E70" s="199"/>
      <c r="F70" s="205">
        <v>0.2283</v>
      </c>
      <c r="G70" s="200"/>
      <c r="H70" s="201">
        <v>5.8</v>
      </c>
      <c r="I70" s="199"/>
      <c r="J70" s="205">
        <v>0.36799999999999999</v>
      </c>
      <c r="K70" s="200" t="s">
        <v>948</v>
      </c>
      <c r="L70" s="201"/>
      <c r="M70" s="199"/>
      <c r="N70" s="205">
        <v>0.88580000000000003</v>
      </c>
      <c r="O70" s="200"/>
      <c r="P70" s="201">
        <v>22.5</v>
      </c>
      <c r="Q70" s="199" t="s">
        <v>949</v>
      </c>
      <c r="R70" s="205">
        <v>1.5</v>
      </c>
      <c r="S70" s="202"/>
    </row>
    <row r="71" spans="1:19" ht="9.4499999999999993" customHeight="1">
      <c r="A71" s="199"/>
      <c r="B71" s="205">
        <v>0.1181</v>
      </c>
      <c r="C71" s="200"/>
      <c r="D71" s="201">
        <v>3</v>
      </c>
      <c r="E71" s="199"/>
      <c r="F71" s="205">
        <v>0.23230000000000001</v>
      </c>
      <c r="G71" s="200"/>
      <c r="H71" s="201">
        <v>5.9</v>
      </c>
      <c r="I71" s="199"/>
      <c r="J71" s="205">
        <v>0.37009999999999998</v>
      </c>
      <c r="K71" s="200"/>
      <c r="L71" s="201">
        <v>9.4</v>
      </c>
      <c r="M71" s="199" t="s">
        <v>950</v>
      </c>
      <c r="N71" s="205">
        <v>0.89059999999999995</v>
      </c>
      <c r="O71" s="200"/>
      <c r="P71" s="201"/>
      <c r="Q71" s="199" t="s">
        <v>951</v>
      </c>
      <c r="R71" s="205">
        <v>1.5156000000000001</v>
      </c>
      <c r="S71" s="202"/>
    </row>
    <row r="72" spans="1:19" ht="9.4499999999999993" customHeight="1" thickBot="1">
      <c r="A72" s="197"/>
      <c r="B72" s="206">
        <v>0.12</v>
      </c>
      <c r="C72" s="198">
        <v>31</v>
      </c>
      <c r="D72" s="204"/>
      <c r="E72" s="197"/>
      <c r="F72" s="206">
        <v>0.23400000000000001</v>
      </c>
      <c r="G72" s="198" t="s">
        <v>952</v>
      </c>
      <c r="H72" s="204"/>
      <c r="I72" s="197"/>
      <c r="J72" s="206">
        <v>0.374</v>
      </c>
      <c r="K72" s="198"/>
      <c r="L72" s="204">
        <v>9.5</v>
      </c>
      <c r="M72" s="197"/>
      <c r="N72" s="206">
        <v>0.90549999999999997</v>
      </c>
      <c r="O72" s="198"/>
      <c r="P72" s="204">
        <v>23</v>
      </c>
      <c r="Q72" s="197"/>
      <c r="R72" s="206">
        <v>1.5157</v>
      </c>
      <c r="S72" s="214">
        <v>38.5</v>
      </c>
    </row>
  </sheetData>
  <sheetProtection sheet="1" objects="1" scenarios="1"/>
  <phoneticPr fontId="0" type="noConversion"/>
  <printOptions horizontalCentered="1" verticalCentered="1" gridLinesSet="0"/>
  <pageMargins left="0.5" right="0.5" top="0.5" bottom="0.5" header="0.5" footer="0.5"/>
  <pageSetup orientation="portrait" blackAndWhite="1" horizontalDpi="4294967292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19"/>
    <pageSetUpPr fitToPage="1"/>
  </sheetPr>
  <dimension ref="A1:T74"/>
  <sheetViews>
    <sheetView showGridLines="0" showRowColHeaders="0" workbookViewId="0"/>
  </sheetViews>
  <sheetFormatPr defaultColWidth="8.90625" defaultRowHeight="10.199999999999999"/>
  <cols>
    <col min="1" max="2" width="4.1796875" style="193" customWidth="1"/>
    <col min="3" max="3" width="2.6328125" style="193" customWidth="1"/>
    <col min="4" max="6" width="4.1796875" style="193" customWidth="1"/>
    <col min="7" max="7" width="2.6328125" style="193" customWidth="1"/>
    <col min="8" max="10" width="4.1796875" style="193" customWidth="1"/>
    <col min="11" max="11" width="2.1796875" style="193" customWidth="1"/>
    <col min="12" max="14" width="4.1796875" style="193" customWidth="1"/>
    <col min="15" max="15" width="2.1796875" style="193" customWidth="1"/>
    <col min="16" max="16" width="4.6328125" style="193" customWidth="1"/>
    <col min="17" max="17" width="4.1796875" style="193" customWidth="1"/>
    <col min="18" max="18" width="5.1796875" style="193" customWidth="1"/>
    <col min="19" max="19" width="2.1796875" style="193" customWidth="1"/>
    <col min="20" max="20" width="4.6328125" style="193" customWidth="1"/>
    <col min="21" max="16384" width="8.90625" style="193"/>
  </cols>
  <sheetData>
    <row r="1" spans="1:20" ht="39.9" customHeight="1">
      <c r="A1" s="194" t="s">
        <v>140</v>
      </c>
      <c r="B1" s="195" t="s">
        <v>139</v>
      </c>
      <c r="C1" s="195" t="s">
        <v>127</v>
      </c>
      <c r="D1" s="195" t="s">
        <v>142</v>
      </c>
      <c r="E1" s="194" t="s">
        <v>140</v>
      </c>
      <c r="F1" s="195" t="s">
        <v>139</v>
      </c>
      <c r="G1" s="195" t="s">
        <v>127</v>
      </c>
      <c r="H1" s="195" t="s">
        <v>142</v>
      </c>
      <c r="I1" s="194" t="s">
        <v>140</v>
      </c>
      <c r="J1" s="195" t="s">
        <v>139</v>
      </c>
      <c r="K1" s="195" t="s">
        <v>127</v>
      </c>
      <c r="L1" s="195" t="s">
        <v>142</v>
      </c>
      <c r="M1" s="194" t="s">
        <v>140</v>
      </c>
      <c r="N1" s="195" t="s">
        <v>139</v>
      </c>
      <c r="O1" s="195" t="s">
        <v>143</v>
      </c>
      <c r="P1" s="195" t="s">
        <v>142</v>
      </c>
      <c r="Q1" s="194" t="s">
        <v>140</v>
      </c>
      <c r="R1" s="195" t="s">
        <v>139</v>
      </c>
      <c r="S1" s="195" t="s">
        <v>143</v>
      </c>
      <c r="T1" s="196" t="s">
        <v>142</v>
      </c>
    </row>
    <row r="2" spans="1:20" ht="9.4499999999999993" customHeight="1">
      <c r="A2" s="199"/>
      <c r="B2" s="205">
        <v>5.8999999999999999E-3</v>
      </c>
      <c r="C2" s="200">
        <v>97</v>
      </c>
      <c r="D2" s="207">
        <v>0.15</v>
      </c>
      <c r="E2" s="199"/>
      <c r="F2" s="205">
        <v>4.53E-2</v>
      </c>
      <c r="G2" s="200"/>
      <c r="H2" s="207">
        <v>1.1499999999999999</v>
      </c>
      <c r="I2" s="199"/>
      <c r="J2" s="205">
        <v>0.13780000000000001</v>
      </c>
      <c r="K2" s="200"/>
      <c r="L2" s="207">
        <v>3.5</v>
      </c>
      <c r="M2" s="199"/>
      <c r="N2" s="205">
        <v>0.252</v>
      </c>
      <c r="O2" s="200"/>
      <c r="P2" s="207">
        <v>6.4</v>
      </c>
      <c r="Q2" s="199" t="s">
        <v>165</v>
      </c>
      <c r="R2" s="205">
        <v>0.40620000000000001</v>
      </c>
      <c r="S2" s="208"/>
      <c r="T2" s="209"/>
    </row>
    <row r="3" spans="1:20" ht="9.4499999999999993" customHeight="1">
      <c r="A3" s="199"/>
      <c r="B3" s="205">
        <v>6.3E-3</v>
      </c>
      <c r="C3" s="200">
        <v>96</v>
      </c>
      <c r="D3" s="207">
        <v>0.16</v>
      </c>
      <c r="E3" s="199"/>
      <c r="F3" s="205">
        <v>4.65E-2</v>
      </c>
      <c r="G3" s="200">
        <v>56</v>
      </c>
      <c r="H3" s="207"/>
      <c r="I3" s="199"/>
      <c r="J3" s="205">
        <v>0.14050000000000001</v>
      </c>
      <c r="K3" s="200">
        <v>28</v>
      </c>
      <c r="L3" s="207"/>
      <c r="M3" s="199"/>
      <c r="N3" s="205">
        <v>0.25590000000000002</v>
      </c>
      <c r="O3" s="200"/>
      <c r="P3" s="207">
        <v>6.5</v>
      </c>
      <c r="Q3" s="199"/>
      <c r="R3" s="205">
        <v>0.41300000000000003</v>
      </c>
      <c r="S3" s="210" t="s">
        <v>102</v>
      </c>
      <c r="T3" s="209"/>
    </row>
    <row r="4" spans="1:20" ht="9.4499999999999993" customHeight="1">
      <c r="A4" s="199"/>
      <c r="B4" s="205">
        <v>6.7000000000000002E-3</v>
      </c>
      <c r="C4" s="200">
        <v>95</v>
      </c>
      <c r="D4" s="207">
        <v>0.17</v>
      </c>
      <c r="E4" s="199" t="s">
        <v>157</v>
      </c>
      <c r="F4" s="205">
        <v>4.6900000000000004E-2</v>
      </c>
      <c r="G4" s="200"/>
      <c r="H4" s="207"/>
      <c r="I4" s="199" t="s">
        <v>162</v>
      </c>
      <c r="J4" s="205">
        <v>0.1406</v>
      </c>
      <c r="K4" s="200"/>
      <c r="L4" s="207"/>
      <c r="M4" s="199"/>
      <c r="N4" s="205">
        <v>0.25700000000000001</v>
      </c>
      <c r="O4" s="200" t="s">
        <v>164</v>
      </c>
      <c r="P4" s="207"/>
      <c r="Q4" s="199"/>
      <c r="R4" s="205">
        <v>0.41339999999999999</v>
      </c>
      <c r="S4" s="210"/>
      <c r="T4" s="209">
        <v>10.5</v>
      </c>
    </row>
    <row r="5" spans="1:20" ht="9.4499999999999993" customHeight="1">
      <c r="A5" s="199"/>
      <c r="B5" s="205">
        <v>7.1000000000000004E-3</v>
      </c>
      <c r="C5" s="200">
        <v>94</v>
      </c>
      <c r="D5" s="207">
        <v>0.18</v>
      </c>
      <c r="E5" s="199"/>
      <c r="F5" s="205">
        <v>4.7199999999999999E-2</v>
      </c>
      <c r="G5" s="200"/>
      <c r="H5" s="207">
        <v>1.2</v>
      </c>
      <c r="I5" s="199"/>
      <c r="J5" s="205">
        <v>0.14169999999999999</v>
      </c>
      <c r="K5" s="200"/>
      <c r="L5" s="207">
        <v>3.6</v>
      </c>
      <c r="M5" s="199"/>
      <c r="N5" s="205">
        <v>0.25979999999999998</v>
      </c>
      <c r="O5" s="200"/>
      <c r="P5" s="207">
        <v>6.6</v>
      </c>
      <c r="Q5" s="199" t="s">
        <v>169</v>
      </c>
      <c r="R5" s="205">
        <v>0.4219</v>
      </c>
      <c r="S5" s="210"/>
      <c r="T5" s="209"/>
    </row>
    <row r="6" spans="1:20" ht="9.4499999999999993" customHeight="1">
      <c r="A6" s="199"/>
      <c r="B6" s="205">
        <v>7.4999999999999997E-3</v>
      </c>
      <c r="C6" s="200">
        <v>93</v>
      </c>
      <c r="D6" s="207">
        <v>0.19</v>
      </c>
      <c r="E6" s="199"/>
      <c r="F6" s="205">
        <v>4.9200000000000001E-2</v>
      </c>
      <c r="G6" s="200"/>
      <c r="H6" s="207">
        <v>1.25</v>
      </c>
      <c r="I6" s="199"/>
      <c r="J6" s="205">
        <v>0.14400000000000002</v>
      </c>
      <c r="K6" s="200">
        <v>27</v>
      </c>
      <c r="L6" s="207"/>
      <c r="M6" s="199"/>
      <c r="N6" s="205">
        <v>0.26100000000000001</v>
      </c>
      <c r="O6" s="200" t="s">
        <v>167</v>
      </c>
      <c r="P6" s="207"/>
      <c r="Q6" s="199"/>
      <c r="R6" s="205">
        <v>0.43309999999999998</v>
      </c>
      <c r="S6" s="210"/>
      <c r="T6" s="209">
        <v>11</v>
      </c>
    </row>
    <row r="7" spans="1:20" ht="9.4499999999999993" customHeight="1">
      <c r="A7" s="199"/>
      <c r="B7" s="205">
        <v>7.9000000000000008E-3</v>
      </c>
      <c r="C7" s="200">
        <v>92</v>
      </c>
      <c r="D7" s="207">
        <v>0.2</v>
      </c>
      <c r="E7" s="199"/>
      <c r="F7" s="205">
        <v>5.1200000000000002E-2</v>
      </c>
      <c r="G7" s="200"/>
      <c r="H7" s="207">
        <v>1.3</v>
      </c>
      <c r="I7" s="199"/>
      <c r="J7" s="205">
        <v>0.1457</v>
      </c>
      <c r="K7" s="200"/>
      <c r="L7" s="207">
        <v>3.7</v>
      </c>
      <c r="M7" s="199"/>
      <c r="N7" s="205">
        <v>0.26379999999999998</v>
      </c>
      <c r="O7" s="200"/>
      <c r="P7" s="207">
        <v>6.7</v>
      </c>
      <c r="Q7" s="199" t="s">
        <v>172</v>
      </c>
      <c r="R7" s="205">
        <v>0.4375</v>
      </c>
      <c r="S7" s="210"/>
      <c r="T7" s="209"/>
    </row>
    <row r="8" spans="1:20" ht="9.4499999999999993" customHeight="1">
      <c r="A8" s="199"/>
      <c r="B8" s="205">
        <v>8.3000000000000001E-3</v>
      </c>
      <c r="C8" s="200">
        <v>91</v>
      </c>
      <c r="D8" s="207">
        <v>0.21</v>
      </c>
      <c r="E8" s="199"/>
      <c r="F8" s="205">
        <v>5.2000000000000005E-2</v>
      </c>
      <c r="G8" s="200">
        <v>55</v>
      </c>
      <c r="H8" s="207"/>
      <c r="I8" s="199"/>
      <c r="J8" s="205">
        <v>0.14699999999999999</v>
      </c>
      <c r="K8" s="200">
        <v>26</v>
      </c>
      <c r="L8" s="207"/>
      <c r="M8" s="199" t="s">
        <v>170</v>
      </c>
      <c r="N8" s="205">
        <v>0.2656</v>
      </c>
      <c r="O8" s="200"/>
      <c r="P8" s="207"/>
      <c r="Q8" s="199"/>
      <c r="R8" s="205">
        <v>0.45279999999999998</v>
      </c>
      <c r="S8" s="210"/>
      <c r="T8" s="209">
        <v>11.5</v>
      </c>
    </row>
    <row r="9" spans="1:20" ht="9.4499999999999993" customHeight="1">
      <c r="A9" s="199"/>
      <c r="B9" s="205">
        <v>8.6999999999999994E-3</v>
      </c>
      <c r="C9" s="200">
        <v>90</v>
      </c>
      <c r="D9" s="207">
        <v>0.22</v>
      </c>
      <c r="E9" s="199"/>
      <c r="F9" s="205">
        <v>5.3100000000000001E-2</v>
      </c>
      <c r="G9" s="200"/>
      <c r="H9" s="207">
        <v>1.35</v>
      </c>
      <c r="I9" s="199"/>
      <c r="J9" s="205">
        <v>0.14760000000000001</v>
      </c>
      <c r="K9" s="200"/>
      <c r="L9" s="207">
        <v>3.75</v>
      </c>
      <c r="M9" s="199"/>
      <c r="N9" s="205">
        <v>0.26569999999999999</v>
      </c>
      <c r="O9" s="200"/>
      <c r="P9" s="207">
        <v>6.75</v>
      </c>
      <c r="Q9" s="199" t="s">
        <v>175</v>
      </c>
      <c r="R9" s="205">
        <v>0.4531</v>
      </c>
      <c r="S9" s="210"/>
      <c r="T9" s="209"/>
    </row>
    <row r="10" spans="1:20" ht="9.4499999999999993" customHeight="1">
      <c r="A10" s="199"/>
      <c r="B10" s="205">
        <v>9.1000000000000004E-3</v>
      </c>
      <c r="C10" s="200">
        <v>89</v>
      </c>
      <c r="D10" s="207">
        <v>0.23</v>
      </c>
      <c r="E10" s="199"/>
      <c r="F10" s="205">
        <v>5.5E-2</v>
      </c>
      <c r="G10" s="200">
        <v>54</v>
      </c>
      <c r="H10" s="207"/>
      <c r="I10" s="199"/>
      <c r="J10" s="205">
        <v>0.14949999999999999</v>
      </c>
      <c r="K10" s="200">
        <v>25</v>
      </c>
      <c r="L10" s="207"/>
      <c r="M10" s="199"/>
      <c r="N10" s="205">
        <v>0.26600000000000001</v>
      </c>
      <c r="O10" s="200" t="s">
        <v>174</v>
      </c>
      <c r="P10" s="207"/>
      <c r="Q10" s="199" t="s">
        <v>178</v>
      </c>
      <c r="R10" s="205">
        <v>0.46879999999999999</v>
      </c>
      <c r="S10" s="210"/>
      <c r="T10" s="209"/>
    </row>
    <row r="11" spans="1:20" ht="9.4499999999999993" customHeight="1">
      <c r="A11" s="199"/>
      <c r="B11" s="205">
        <v>9.4000000000000004E-3</v>
      </c>
      <c r="C11" s="200"/>
      <c r="D11" s="207">
        <v>0.24</v>
      </c>
      <c r="E11" s="199"/>
      <c r="F11" s="205">
        <v>5.5100000000000003E-2</v>
      </c>
      <c r="G11" s="200"/>
      <c r="H11" s="207">
        <v>1.4</v>
      </c>
      <c r="I11" s="199"/>
      <c r="J11" s="205">
        <v>0.14960000000000001</v>
      </c>
      <c r="K11" s="200"/>
      <c r="L11" s="207">
        <v>3.8</v>
      </c>
      <c r="M11" s="199"/>
      <c r="N11" s="205">
        <v>0.26769999999999999</v>
      </c>
      <c r="O11" s="200"/>
      <c r="P11" s="207">
        <v>6.8</v>
      </c>
      <c r="Q11" s="199"/>
      <c r="R11" s="205">
        <v>0.47239999999999999</v>
      </c>
      <c r="S11" s="210"/>
      <c r="T11" s="209">
        <v>12</v>
      </c>
    </row>
    <row r="12" spans="1:20" ht="9.4499999999999993" customHeight="1">
      <c r="A12" s="199"/>
      <c r="B12" s="205">
        <v>9.4999999999999998E-3</v>
      </c>
      <c r="C12" s="200">
        <v>88</v>
      </c>
      <c r="D12" s="207"/>
      <c r="E12" s="199"/>
      <c r="F12" s="205">
        <v>5.7100000000000005E-2</v>
      </c>
      <c r="G12" s="200"/>
      <c r="H12" s="207">
        <v>1.45</v>
      </c>
      <c r="I12" s="199"/>
      <c r="J12" s="205">
        <v>0.152</v>
      </c>
      <c r="K12" s="200">
        <v>24</v>
      </c>
      <c r="L12" s="207"/>
      <c r="M12" s="199"/>
      <c r="N12" s="205">
        <v>0.2717</v>
      </c>
      <c r="O12" s="200"/>
      <c r="P12" s="207">
        <v>6.9</v>
      </c>
      <c r="Q12" s="199" t="s">
        <v>182</v>
      </c>
      <c r="R12" s="205">
        <v>0.4844</v>
      </c>
      <c r="S12" s="210"/>
      <c r="T12" s="209"/>
    </row>
    <row r="13" spans="1:20" ht="9.4499999999999993" customHeight="1">
      <c r="A13" s="199"/>
      <c r="B13" s="205">
        <v>9.7999999999999997E-3</v>
      </c>
      <c r="C13" s="200"/>
      <c r="D13" s="207">
        <v>0.25</v>
      </c>
      <c r="E13" s="199"/>
      <c r="F13" s="205">
        <v>5.91E-2</v>
      </c>
      <c r="G13" s="200"/>
      <c r="H13" s="207">
        <v>1.5</v>
      </c>
      <c r="I13" s="199"/>
      <c r="J13" s="205">
        <v>0.1535</v>
      </c>
      <c r="K13" s="200"/>
      <c r="L13" s="207">
        <v>3.9</v>
      </c>
      <c r="M13" s="199"/>
      <c r="N13" s="205">
        <v>0.27200000000000002</v>
      </c>
      <c r="O13" s="200" t="s">
        <v>180</v>
      </c>
      <c r="P13" s="207"/>
      <c r="Q13" s="199"/>
      <c r="R13" s="205">
        <v>0.49209999999999998</v>
      </c>
      <c r="S13" s="210"/>
      <c r="T13" s="209">
        <v>12.5</v>
      </c>
    </row>
    <row r="14" spans="1:20" ht="9.4499999999999993" customHeight="1">
      <c r="A14" s="199"/>
      <c r="B14" s="205">
        <v>0.01</v>
      </c>
      <c r="C14" s="200">
        <v>87</v>
      </c>
      <c r="D14" s="207"/>
      <c r="E14" s="199"/>
      <c r="F14" s="205">
        <v>5.9500000000000004E-2</v>
      </c>
      <c r="G14" s="200">
        <v>53</v>
      </c>
      <c r="H14" s="207"/>
      <c r="I14" s="199"/>
      <c r="J14" s="205">
        <v>0.154</v>
      </c>
      <c r="K14" s="200">
        <v>23</v>
      </c>
      <c r="L14" s="207"/>
      <c r="M14" s="199"/>
      <c r="N14" s="205">
        <v>0.27560000000000001</v>
      </c>
      <c r="O14" s="200"/>
      <c r="P14" s="207">
        <v>7</v>
      </c>
      <c r="Q14" s="199" t="s">
        <v>185</v>
      </c>
      <c r="R14" s="205">
        <v>0.5</v>
      </c>
      <c r="S14" s="210"/>
      <c r="T14" s="209"/>
    </row>
    <row r="15" spans="1:20" ht="9.4499999999999993" customHeight="1">
      <c r="A15" s="199"/>
      <c r="B15" s="205">
        <v>1.0200000000000001E-2</v>
      </c>
      <c r="C15" s="200"/>
      <c r="D15" s="207">
        <v>0.26</v>
      </c>
      <c r="E15" s="199"/>
      <c r="F15" s="205">
        <v>6.1000000000000006E-2</v>
      </c>
      <c r="G15" s="200"/>
      <c r="H15" s="207">
        <v>1.55</v>
      </c>
      <c r="I15" s="199" t="s">
        <v>179</v>
      </c>
      <c r="J15" s="205">
        <v>0.15620000000000001</v>
      </c>
      <c r="K15" s="200"/>
      <c r="L15" s="207"/>
      <c r="M15" s="199"/>
      <c r="N15" s="205">
        <v>0.27700000000000002</v>
      </c>
      <c r="O15" s="200" t="s">
        <v>183</v>
      </c>
      <c r="P15" s="207"/>
      <c r="Q15" s="199"/>
      <c r="R15" s="205">
        <v>0.51180000000000003</v>
      </c>
      <c r="S15" s="210"/>
      <c r="T15" s="209">
        <v>13</v>
      </c>
    </row>
    <row r="16" spans="1:20" ht="9.4499999999999993" customHeight="1">
      <c r="A16" s="199"/>
      <c r="B16" s="205">
        <v>1.0500000000000001E-2</v>
      </c>
      <c r="C16" s="200">
        <v>86</v>
      </c>
      <c r="D16" s="207"/>
      <c r="E16" s="199" t="s">
        <v>177</v>
      </c>
      <c r="F16" s="205">
        <v>6.25E-2</v>
      </c>
      <c r="G16" s="200"/>
      <c r="H16" s="207"/>
      <c r="I16" s="199"/>
      <c r="J16" s="205">
        <v>0.157</v>
      </c>
      <c r="K16" s="200">
        <v>22</v>
      </c>
      <c r="L16" s="207"/>
      <c r="M16" s="199"/>
      <c r="N16" s="205">
        <v>0.27950000000000003</v>
      </c>
      <c r="O16" s="200"/>
      <c r="P16" s="207">
        <v>7.1</v>
      </c>
      <c r="Q16" s="199" t="s">
        <v>189</v>
      </c>
      <c r="R16" s="205">
        <v>0.51559999999999995</v>
      </c>
      <c r="S16" s="210"/>
      <c r="T16" s="209"/>
    </row>
    <row r="17" spans="1:20" ht="9.4499999999999993" customHeight="1">
      <c r="A17" s="199"/>
      <c r="B17" s="205">
        <v>1.06E-2</v>
      </c>
      <c r="C17" s="200"/>
      <c r="D17" s="207">
        <v>0.27</v>
      </c>
      <c r="E17" s="199"/>
      <c r="F17" s="205">
        <v>6.3E-2</v>
      </c>
      <c r="G17" s="200"/>
      <c r="H17" s="207">
        <v>1.6</v>
      </c>
      <c r="I17" s="199"/>
      <c r="J17" s="205">
        <v>0.1575</v>
      </c>
      <c r="K17" s="200"/>
      <c r="L17" s="207">
        <v>4</v>
      </c>
      <c r="M17" s="199"/>
      <c r="N17" s="205">
        <v>0.28100000000000003</v>
      </c>
      <c r="O17" s="200" t="s">
        <v>186</v>
      </c>
      <c r="P17" s="207"/>
      <c r="Q17" s="199" t="s">
        <v>191</v>
      </c>
      <c r="R17" s="205">
        <v>0.53120000000000001</v>
      </c>
      <c r="S17" s="210"/>
      <c r="T17" s="209"/>
    </row>
    <row r="18" spans="1:20" ht="9.4499999999999993" customHeight="1">
      <c r="A18" s="199"/>
      <c r="B18" s="205">
        <v>1.0999999999999999E-2</v>
      </c>
      <c r="C18" s="200">
        <v>85</v>
      </c>
      <c r="D18" s="207">
        <v>0.28000000000000003</v>
      </c>
      <c r="E18" s="199"/>
      <c r="F18" s="205">
        <v>6.3500000000000001E-2</v>
      </c>
      <c r="G18" s="200">
        <v>52</v>
      </c>
      <c r="H18" s="207"/>
      <c r="I18" s="199"/>
      <c r="J18" s="205">
        <v>0.159</v>
      </c>
      <c r="K18" s="200">
        <v>21</v>
      </c>
      <c r="L18" s="207"/>
      <c r="M18" s="199" t="s">
        <v>188</v>
      </c>
      <c r="N18" s="205">
        <v>0.28120000000000001</v>
      </c>
      <c r="O18" s="200"/>
      <c r="P18" s="207"/>
      <c r="Q18" s="199"/>
      <c r="R18" s="205">
        <v>0.53149999999999997</v>
      </c>
      <c r="S18" s="210"/>
      <c r="T18" s="209">
        <v>13.5</v>
      </c>
    </row>
    <row r="19" spans="1:20" ht="9.4499999999999993" customHeight="1">
      <c r="A19" s="199"/>
      <c r="B19" s="205">
        <v>1.14E-2</v>
      </c>
      <c r="C19" s="200"/>
      <c r="D19" s="207">
        <v>0.28999999999999998</v>
      </c>
      <c r="E19" s="199"/>
      <c r="F19" s="205">
        <v>6.5000000000000002E-2</v>
      </c>
      <c r="G19" s="200"/>
      <c r="H19" s="207">
        <v>1.65</v>
      </c>
      <c r="I19" s="199"/>
      <c r="J19" s="205">
        <v>0.161</v>
      </c>
      <c r="K19" s="200">
        <v>20</v>
      </c>
      <c r="L19" s="207"/>
      <c r="M19" s="199"/>
      <c r="N19" s="205">
        <v>0.28350000000000003</v>
      </c>
      <c r="O19" s="200"/>
      <c r="P19" s="207">
        <v>7.2</v>
      </c>
      <c r="Q19" s="199" t="s">
        <v>193</v>
      </c>
      <c r="R19" s="205">
        <v>0.54690000000000005</v>
      </c>
      <c r="S19" s="210"/>
      <c r="T19" s="209"/>
    </row>
    <row r="20" spans="1:20" ht="9.4499999999999993" customHeight="1">
      <c r="A20" s="199"/>
      <c r="B20" s="205">
        <v>1.15E-2</v>
      </c>
      <c r="C20" s="200">
        <v>84</v>
      </c>
      <c r="D20" s="207"/>
      <c r="E20" s="199"/>
      <c r="F20" s="205">
        <v>6.6900000000000001E-2</v>
      </c>
      <c r="G20" s="200"/>
      <c r="H20" s="207">
        <v>1.7</v>
      </c>
      <c r="I20" s="199"/>
      <c r="J20" s="205">
        <v>0.16139999999999999</v>
      </c>
      <c r="K20" s="200"/>
      <c r="L20" s="207">
        <v>4.0999999999999996</v>
      </c>
      <c r="M20" s="199"/>
      <c r="N20" s="205">
        <v>0.28539999999999999</v>
      </c>
      <c r="O20" s="200"/>
      <c r="P20" s="207">
        <v>7.25</v>
      </c>
      <c r="Q20" s="199"/>
      <c r="R20" s="205">
        <v>0.55120000000000002</v>
      </c>
      <c r="S20" s="210"/>
      <c r="T20" s="209">
        <v>14</v>
      </c>
    </row>
    <row r="21" spans="1:20" ht="9.4499999999999993" customHeight="1">
      <c r="A21" s="199"/>
      <c r="B21" s="205">
        <v>1.18E-2</v>
      </c>
      <c r="C21" s="200"/>
      <c r="D21" s="207">
        <v>0.3</v>
      </c>
      <c r="E21" s="199"/>
      <c r="F21" s="205">
        <v>6.7000000000000004E-2</v>
      </c>
      <c r="G21" s="200">
        <v>51</v>
      </c>
      <c r="H21" s="207"/>
      <c r="I21" s="199"/>
      <c r="J21" s="205">
        <v>0.16539999999999999</v>
      </c>
      <c r="K21" s="200"/>
      <c r="L21" s="207">
        <v>4.2</v>
      </c>
      <c r="M21" s="199"/>
      <c r="N21" s="205">
        <v>0.28739999999999999</v>
      </c>
      <c r="O21" s="200"/>
      <c r="P21" s="207">
        <v>7.3</v>
      </c>
      <c r="Q21" s="199" t="s">
        <v>196</v>
      </c>
      <c r="R21" s="205">
        <v>0.5625</v>
      </c>
      <c r="S21" s="210"/>
      <c r="T21" s="209"/>
    </row>
    <row r="22" spans="1:20" ht="9.4499999999999993" customHeight="1">
      <c r="A22" s="199"/>
      <c r="B22" s="205">
        <v>1.2E-2</v>
      </c>
      <c r="C22" s="200">
        <v>83</v>
      </c>
      <c r="D22" s="207"/>
      <c r="E22" s="199"/>
      <c r="F22" s="205">
        <v>6.8900000000000003E-2</v>
      </c>
      <c r="G22" s="200"/>
      <c r="H22" s="207">
        <v>1.75</v>
      </c>
      <c r="I22" s="199"/>
      <c r="J22" s="205">
        <v>0.16600000000000001</v>
      </c>
      <c r="K22" s="200">
        <v>19</v>
      </c>
      <c r="L22" s="207"/>
      <c r="M22" s="199"/>
      <c r="N22" s="205">
        <v>0.28999999999999998</v>
      </c>
      <c r="O22" s="200" t="s">
        <v>194</v>
      </c>
      <c r="P22" s="207"/>
      <c r="Q22" s="199"/>
      <c r="R22" s="205">
        <v>0.57089999999999996</v>
      </c>
      <c r="S22" s="210"/>
      <c r="T22" s="209">
        <v>14.5</v>
      </c>
    </row>
    <row r="23" spans="1:20" ht="9.4499999999999993" customHeight="1">
      <c r="A23" s="199"/>
      <c r="B23" s="205">
        <v>1.2500000000000001E-2</v>
      </c>
      <c r="C23" s="200">
        <v>82</v>
      </c>
      <c r="D23" s="207"/>
      <c r="E23" s="199"/>
      <c r="F23" s="205">
        <v>7.0000000000000007E-2</v>
      </c>
      <c r="G23" s="200">
        <v>50</v>
      </c>
      <c r="H23" s="207"/>
      <c r="I23" s="199"/>
      <c r="J23" s="205">
        <v>0.1673</v>
      </c>
      <c r="K23" s="200"/>
      <c r="L23" s="207">
        <v>4.25</v>
      </c>
      <c r="M23" s="199"/>
      <c r="N23" s="205">
        <v>0.2913</v>
      </c>
      <c r="O23" s="200"/>
      <c r="P23" s="207">
        <v>7.4</v>
      </c>
      <c r="Q23" s="199" t="s">
        <v>200</v>
      </c>
      <c r="R23" s="205">
        <v>0.57809999999999995</v>
      </c>
      <c r="S23" s="210"/>
      <c r="T23" s="209"/>
    </row>
    <row r="24" spans="1:20" ht="9.4499999999999993" customHeight="1">
      <c r="A24" s="199"/>
      <c r="B24" s="205">
        <v>1.26E-2</v>
      </c>
      <c r="C24" s="200"/>
      <c r="D24" s="207">
        <v>0.32</v>
      </c>
      <c r="E24" s="199"/>
      <c r="F24" s="205">
        <v>7.0900000000000005E-2</v>
      </c>
      <c r="G24" s="200"/>
      <c r="H24" s="207">
        <v>1.8</v>
      </c>
      <c r="I24" s="199"/>
      <c r="J24" s="205">
        <v>0.16930000000000001</v>
      </c>
      <c r="K24" s="200"/>
      <c r="L24" s="207">
        <v>4.3</v>
      </c>
      <c r="M24" s="199"/>
      <c r="N24" s="205">
        <v>0.29499999999999998</v>
      </c>
      <c r="O24" s="200" t="s">
        <v>198</v>
      </c>
      <c r="P24" s="207"/>
      <c r="Q24" s="199"/>
      <c r="R24" s="205">
        <v>0.59060000000000001</v>
      </c>
      <c r="S24" s="210"/>
      <c r="T24" s="209">
        <v>15</v>
      </c>
    </row>
    <row r="25" spans="1:20" ht="9.4499999999999993" customHeight="1">
      <c r="A25" s="199"/>
      <c r="B25" s="205">
        <v>1.2999999999999999E-2</v>
      </c>
      <c r="C25" s="200">
        <v>81</v>
      </c>
      <c r="D25" s="207"/>
      <c r="E25" s="199"/>
      <c r="F25" s="205">
        <v>7.2800000000000004E-2</v>
      </c>
      <c r="G25" s="200"/>
      <c r="H25" s="207">
        <v>1.85</v>
      </c>
      <c r="I25" s="199"/>
      <c r="J25" s="205">
        <v>0.16950000000000001</v>
      </c>
      <c r="K25" s="200">
        <v>18</v>
      </c>
      <c r="L25" s="207"/>
      <c r="M25" s="199"/>
      <c r="N25" s="205">
        <v>0.29530000000000001</v>
      </c>
      <c r="O25" s="200"/>
      <c r="P25" s="207">
        <v>7.5</v>
      </c>
      <c r="Q25" s="199" t="s">
        <v>204</v>
      </c>
      <c r="R25" s="205">
        <v>0.59379999999999999</v>
      </c>
      <c r="S25" s="210"/>
      <c r="T25" s="209"/>
    </row>
    <row r="26" spans="1:20" ht="9.4499999999999993" customHeight="1">
      <c r="A26" s="199"/>
      <c r="B26" s="205">
        <v>1.34E-2</v>
      </c>
      <c r="C26" s="200"/>
      <c r="D26" s="207">
        <v>0.34</v>
      </c>
      <c r="E26" s="199"/>
      <c r="F26" s="205">
        <v>7.2999999999999995E-2</v>
      </c>
      <c r="G26" s="200">
        <v>49</v>
      </c>
      <c r="H26" s="207"/>
      <c r="I26" s="199" t="s">
        <v>197</v>
      </c>
      <c r="J26" s="205">
        <v>0.1719</v>
      </c>
      <c r="K26" s="200"/>
      <c r="L26" s="207"/>
      <c r="M26" s="199" t="s">
        <v>202</v>
      </c>
      <c r="N26" s="205">
        <v>0.2969</v>
      </c>
      <c r="O26" s="200"/>
      <c r="P26" s="207"/>
      <c r="Q26" s="199" t="s">
        <v>207</v>
      </c>
      <c r="R26" s="205">
        <v>0.60940000000000005</v>
      </c>
      <c r="S26" s="210"/>
      <c r="T26" s="209"/>
    </row>
    <row r="27" spans="1:20" ht="9.4499999999999993" customHeight="1">
      <c r="A27" s="199"/>
      <c r="B27" s="205">
        <v>1.35E-2</v>
      </c>
      <c r="C27" s="200">
        <v>80</v>
      </c>
      <c r="D27" s="207"/>
      <c r="E27" s="199"/>
      <c r="F27" s="205">
        <v>7.4800000000000005E-2</v>
      </c>
      <c r="G27" s="200"/>
      <c r="H27" s="207">
        <v>1.9</v>
      </c>
      <c r="I27" s="199"/>
      <c r="J27" s="205">
        <v>0.17300000000000001</v>
      </c>
      <c r="K27" s="200">
        <v>17</v>
      </c>
      <c r="L27" s="207"/>
      <c r="M27" s="199"/>
      <c r="N27" s="205">
        <v>0.29920000000000002</v>
      </c>
      <c r="O27" s="200"/>
      <c r="P27" s="207">
        <v>7.6</v>
      </c>
      <c r="Q27" s="199"/>
      <c r="R27" s="205">
        <v>0.61019999999999996</v>
      </c>
      <c r="S27" s="210"/>
      <c r="T27" s="209">
        <v>15.5</v>
      </c>
    </row>
    <row r="28" spans="1:20" ht="9.4499999999999993" customHeight="1">
      <c r="A28" s="199"/>
      <c r="B28" s="205">
        <v>1.38E-2</v>
      </c>
      <c r="C28" s="200"/>
      <c r="D28" s="207">
        <v>0.35</v>
      </c>
      <c r="E28" s="199"/>
      <c r="F28" s="205">
        <v>7.5999999999999998E-2</v>
      </c>
      <c r="G28" s="200">
        <v>48</v>
      </c>
      <c r="H28" s="207"/>
      <c r="I28" s="199"/>
      <c r="J28" s="205">
        <v>0.17319999999999999</v>
      </c>
      <c r="K28" s="200"/>
      <c r="L28" s="207">
        <v>4.4000000000000004</v>
      </c>
      <c r="M28" s="199"/>
      <c r="N28" s="205">
        <v>0.30199999999999999</v>
      </c>
      <c r="O28" s="200" t="s">
        <v>206</v>
      </c>
      <c r="P28" s="207"/>
      <c r="Q28" s="199" t="s">
        <v>209</v>
      </c>
      <c r="R28" s="205">
        <v>0.625</v>
      </c>
      <c r="S28" s="210"/>
      <c r="T28" s="209"/>
    </row>
    <row r="29" spans="1:20" ht="9.4499999999999993" customHeight="1">
      <c r="A29" s="199"/>
      <c r="B29" s="205">
        <v>1.4200000000000001E-2</v>
      </c>
      <c r="C29" s="200"/>
      <c r="D29" s="207">
        <v>0.36</v>
      </c>
      <c r="E29" s="199"/>
      <c r="F29" s="205">
        <v>7.6800000000000007E-2</v>
      </c>
      <c r="G29" s="200"/>
      <c r="H29" s="207">
        <v>1.95</v>
      </c>
      <c r="I29" s="199"/>
      <c r="J29" s="205">
        <v>0.17699999999999999</v>
      </c>
      <c r="K29" s="200">
        <v>16</v>
      </c>
      <c r="L29" s="207"/>
      <c r="M29" s="199"/>
      <c r="N29" s="205">
        <v>0.30309999999999998</v>
      </c>
      <c r="O29" s="200"/>
      <c r="P29" s="207">
        <v>7.7</v>
      </c>
      <c r="Q29" s="199"/>
      <c r="R29" s="205">
        <v>0.62990000000000002</v>
      </c>
      <c r="S29" s="210"/>
      <c r="T29" s="209">
        <v>16</v>
      </c>
    </row>
    <row r="30" spans="1:20" ht="9.4499999999999993" customHeight="1">
      <c r="A30" s="199"/>
      <c r="B30" s="205">
        <v>1.4500000000000001E-2</v>
      </c>
      <c r="C30" s="200">
        <v>79</v>
      </c>
      <c r="D30" s="207"/>
      <c r="E30" s="199" t="s">
        <v>201</v>
      </c>
      <c r="F30" s="205">
        <v>7.8100000000000003E-2</v>
      </c>
      <c r="G30" s="200"/>
      <c r="H30" s="207"/>
      <c r="I30" s="199"/>
      <c r="J30" s="205">
        <v>0.1772</v>
      </c>
      <c r="K30" s="200"/>
      <c r="L30" s="207">
        <v>4.5</v>
      </c>
      <c r="M30" s="199"/>
      <c r="N30" s="205">
        <v>0.30509999999999998</v>
      </c>
      <c r="O30" s="200"/>
      <c r="P30" s="207">
        <v>7.75</v>
      </c>
      <c r="Q30" s="199" t="s">
        <v>211</v>
      </c>
      <c r="R30" s="205">
        <v>0.64059999999999995</v>
      </c>
      <c r="S30" s="210"/>
      <c r="T30" s="209"/>
    </row>
    <row r="31" spans="1:20" ht="9.4499999999999993" customHeight="1">
      <c r="A31" s="199"/>
      <c r="B31" s="205">
        <v>1.4999999999999999E-2</v>
      </c>
      <c r="C31" s="200"/>
      <c r="D31" s="207">
        <v>0.38</v>
      </c>
      <c r="E31" s="199"/>
      <c r="F31" s="205">
        <v>7.85E-2</v>
      </c>
      <c r="G31" s="200">
        <v>47</v>
      </c>
      <c r="H31" s="207"/>
      <c r="I31" s="199"/>
      <c r="J31" s="205">
        <v>0.18</v>
      </c>
      <c r="K31" s="200">
        <v>15</v>
      </c>
      <c r="L31" s="207"/>
      <c r="M31" s="199"/>
      <c r="N31" s="205">
        <v>0.30709999999999998</v>
      </c>
      <c r="O31" s="200"/>
      <c r="P31" s="207">
        <v>7.8</v>
      </c>
      <c r="Q31" s="199"/>
      <c r="R31" s="205">
        <v>0.64959999999999996</v>
      </c>
      <c r="S31" s="210"/>
      <c r="T31" s="209">
        <v>16.5</v>
      </c>
    </row>
    <row r="32" spans="1:20" ht="9.4499999999999993" customHeight="1">
      <c r="A32" s="199" t="s">
        <v>953</v>
      </c>
      <c r="B32" s="205">
        <v>1.5599999999999999E-2</v>
      </c>
      <c r="C32" s="200"/>
      <c r="D32" s="207"/>
      <c r="E32" s="199"/>
      <c r="F32" s="205">
        <v>7.8700000000000006E-2</v>
      </c>
      <c r="G32" s="200"/>
      <c r="H32" s="207">
        <v>2</v>
      </c>
      <c r="I32" s="199"/>
      <c r="J32" s="205">
        <v>0.18110000000000001</v>
      </c>
      <c r="K32" s="200"/>
      <c r="L32" s="207">
        <v>4.5999999999999996</v>
      </c>
      <c r="M32" s="199"/>
      <c r="N32" s="205">
        <v>0.311</v>
      </c>
      <c r="O32" s="200"/>
      <c r="P32" s="207">
        <v>7.9</v>
      </c>
      <c r="Q32" s="199" t="s">
        <v>215</v>
      </c>
      <c r="R32" s="205">
        <v>0.65620000000000001</v>
      </c>
      <c r="S32" s="210"/>
      <c r="T32" s="209"/>
    </row>
    <row r="33" spans="1:20" ht="9.4499999999999993" customHeight="1">
      <c r="A33" s="199"/>
      <c r="B33" s="205">
        <v>1.5699999999999999E-2</v>
      </c>
      <c r="C33" s="200"/>
      <c r="D33" s="207">
        <v>0.4</v>
      </c>
      <c r="E33" s="199"/>
      <c r="F33" s="205">
        <v>8.0700000000000008E-2</v>
      </c>
      <c r="G33" s="200"/>
      <c r="H33" s="207">
        <v>2.0499999999999998</v>
      </c>
      <c r="I33" s="199"/>
      <c r="J33" s="205">
        <v>0.182</v>
      </c>
      <c r="K33" s="200">
        <v>14</v>
      </c>
      <c r="L33" s="207"/>
      <c r="M33" s="199" t="s">
        <v>212</v>
      </c>
      <c r="N33" s="205">
        <v>0.3125</v>
      </c>
      <c r="O33" s="200"/>
      <c r="P33" s="207"/>
      <c r="Q33" s="199"/>
      <c r="R33" s="205">
        <v>0.66930000000000001</v>
      </c>
      <c r="S33" s="210"/>
      <c r="T33" s="209">
        <v>17</v>
      </c>
    </row>
    <row r="34" spans="1:20" ht="9.4499999999999993" customHeight="1">
      <c r="A34" s="199"/>
      <c r="B34" s="205">
        <v>1.6E-2</v>
      </c>
      <c r="C34" s="200">
        <v>78</v>
      </c>
      <c r="D34" s="207"/>
      <c r="E34" s="199"/>
      <c r="F34" s="205">
        <v>8.1000000000000003E-2</v>
      </c>
      <c r="G34" s="200">
        <v>46</v>
      </c>
      <c r="H34" s="207"/>
      <c r="I34" s="199"/>
      <c r="J34" s="205">
        <v>0.185</v>
      </c>
      <c r="K34" s="200">
        <v>13</v>
      </c>
      <c r="L34" s="207">
        <v>4.7</v>
      </c>
      <c r="M34" s="199"/>
      <c r="N34" s="205">
        <v>0.315</v>
      </c>
      <c r="O34" s="200"/>
      <c r="P34" s="207">
        <v>8</v>
      </c>
      <c r="Q34" s="199" t="s">
        <v>218</v>
      </c>
      <c r="R34" s="205">
        <v>0.67190000000000005</v>
      </c>
      <c r="S34" s="210"/>
      <c r="T34" s="209"/>
    </row>
    <row r="35" spans="1:20" ht="9.4499999999999993" customHeight="1">
      <c r="A35" s="199"/>
      <c r="B35" s="205">
        <v>1.6500000000000001E-2</v>
      </c>
      <c r="C35" s="200"/>
      <c r="D35" s="207">
        <v>0.42</v>
      </c>
      <c r="E35" s="199"/>
      <c r="F35" s="205">
        <v>8.2000000000000003E-2</v>
      </c>
      <c r="G35" s="200">
        <v>45</v>
      </c>
      <c r="H35" s="207"/>
      <c r="I35" s="199"/>
      <c r="J35" s="205">
        <v>0.187</v>
      </c>
      <c r="K35" s="200"/>
      <c r="L35" s="207">
        <v>4.75</v>
      </c>
      <c r="M35" s="199"/>
      <c r="N35" s="205">
        <v>0.316</v>
      </c>
      <c r="O35" s="200" t="s">
        <v>216</v>
      </c>
      <c r="P35" s="207"/>
      <c r="Q35" s="199" t="s">
        <v>220</v>
      </c>
      <c r="R35" s="205">
        <v>0.6875</v>
      </c>
      <c r="S35" s="210"/>
      <c r="T35" s="209"/>
    </row>
    <row r="36" spans="1:20" ht="9.4499999999999993" customHeight="1">
      <c r="A36" s="199"/>
      <c r="B36" s="205">
        <v>1.7299999999999999E-2</v>
      </c>
      <c r="C36" s="200"/>
      <c r="D36" s="207">
        <v>0.44</v>
      </c>
      <c r="E36" s="199"/>
      <c r="F36" s="205">
        <v>8.270000000000001E-2</v>
      </c>
      <c r="G36" s="200"/>
      <c r="H36" s="207">
        <v>2.1</v>
      </c>
      <c r="I36" s="199" t="s">
        <v>214</v>
      </c>
      <c r="J36" s="205">
        <v>0.1875</v>
      </c>
      <c r="K36" s="200"/>
      <c r="L36" s="207"/>
      <c r="M36" s="199"/>
      <c r="N36" s="205">
        <v>0.31890000000000002</v>
      </c>
      <c r="O36" s="200"/>
      <c r="P36" s="207">
        <v>8.1</v>
      </c>
      <c r="Q36" s="199"/>
      <c r="R36" s="205">
        <v>0.68900000000000006</v>
      </c>
      <c r="S36" s="210"/>
      <c r="T36" s="209">
        <v>17.5</v>
      </c>
    </row>
    <row r="37" spans="1:20" ht="9.4499999999999993" customHeight="1">
      <c r="A37" s="199"/>
      <c r="B37" s="205">
        <v>1.77E-2</v>
      </c>
      <c r="C37" s="200"/>
      <c r="D37" s="207">
        <v>0.45</v>
      </c>
      <c r="E37" s="199"/>
      <c r="F37" s="205">
        <v>8.4600000000000009E-2</v>
      </c>
      <c r="G37" s="200"/>
      <c r="H37" s="207">
        <v>2.15</v>
      </c>
      <c r="I37" s="199"/>
      <c r="J37" s="205">
        <v>0.189</v>
      </c>
      <c r="K37" s="200">
        <v>12</v>
      </c>
      <c r="L37" s="207">
        <v>4.8</v>
      </c>
      <c r="M37" s="199"/>
      <c r="N37" s="205">
        <v>0.32279999999999998</v>
      </c>
      <c r="O37" s="200"/>
      <c r="P37" s="207">
        <v>8.1999999999999993</v>
      </c>
      <c r="Q37" s="199" t="s">
        <v>223</v>
      </c>
      <c r="R37" s="205">
        <v>0.70309999999999995</v>
      </c>
      <c r="S37" s="210"/>
      <c r="T37" s="209"/>
    </row>
    <row r="38" spans="1:20" ht="9.4499999999999993" customHeight="1">
      <c r="A38" s="199"/>
      <c r="B38" s="205">
        <v>1.7999999999999999E-2</v>
      </c>
      <c r="C38" s="200">
        <v>77</v>
      </c>
      <c r="D38" s="207"/>
      <c r="E38" s="199"/>
      <c r="F38" s="205">
        <v>8.6000000000000007E-2</v>
      </c>
      <c r="G38" s="200">
        <v>44</v>
      </c>
      <c r="H38" s="207"/>
      <c r="I38" s="199"/>
      <c r="J38" s="205">
        <v>0.191</v>
      </c>
      <c r="K38" s="200">
        <v>11</v>
      </c>
      <c r="L38" s="207"/>
      <c r="M38" s="199"/>
      <c r="N38" s="205">
        <v>0.32300000000000001</v>
      </c>
      <c r="O38" s="200" t="s">
        <v>221</v>
      </c>
      <c r="P38" s="207"/>
      <c r="Q38" s="199"/>
      <c r="R38" s="205">
        <v>0.7087</v>
      </c>
      <c r="S38" s="210"/>
      <c r="T38" s="209">
        <v>18</v>
      </c>
    </row>
    <row r="39" spans="1:20" ht="9.4499999999999993" customHeight="1">
      <c r="A39" s="199"/>
      <c r="B39" s="205">
        <v>1.8100000000000002E-2</v>
      </c>
      <c r="C39" s="200"/>
      <c r="D39" s="207">
        <v>0.46</v>
      </c>
      <c r="E39" s="199"/>
      <c r="F39" s="205">
        <v>8.660000000000001E-2</v>
      </c>
      <c r="G39" s="200"/>
      <c r="H39" s="207">
        <v>2.2000000000000002</v>
      </c>
      <c r="I39" s="199"/>
      <c r="J39" s="205">
        <v>0.19289999999999999</v>
      </c>
      <c r="K39" s="200"/>
      <c r="L39" s="207">
        <v>4.9000000000000004</v>
      </c>
      <c r="M39" s="199"/>
      <c r="N39" s="205">
        <v>0.32479999999999998</v>
      </c>
      <c r="O39" s="200"/>
      <c r="P39" s="207">
        <v>8.25</v>
      </c>
      <c r="Q39" s="199" t="s">
        <v>918</v>
      </c>
      <c r="R39" s="205">
        <v>0.71879999999999999</v>
      </c>
      <c r="S39" s="210"/>
      <c r="T39" s="209"/>
    </row>
    <row r="40" spans="1:20" ht="9.4499999999999993" customHeight="1">
      <c r="A40" s="199"/>
      <c r="B40" s="205">
        <v>1.89E-2</v>
      </c>
      <c r="C40" s="200"/>
      <c r="D40" s="207">
        <v>0.48</v>
      </c>
      <c r="E40" s="199"/>
      <c r="F40" s="205">
        <v>8.8599999999999998E-2</v>
      </c>
      <c r="G40" s="200"/>
      <c r="H40" s="207">
        <v>2.25</v>
      </c>
      <c r="I40" s="199"/>
      <c r="J40" s="205">
        <v>0.19350000000000001</v>
      </c>
      <c r="K40" s="200">
        <v>10</v>
      </c>
      <c r="L40" s="207"/>
      <c r="M40" s="199"/>
      <c r="N40" s="205">
        <v>0.32679999999999998</v>
      </c>
      <c r="O40" s="200"/>
      <c r="P40" s="207">
        <v>8.3000000000000007</v>
      </c>
      <c r="Q40" s="199"/>
      <c r="R40" s="205">
        <v>0.72829999999999995</v>
      </c>
      <c r="S40" s="210"/>
      <c r="T40" s="209">
        <v>18.5</v>
      </c>
    </row>
    <row r="41" spans="1:20" ht="9.4499999999999993" customHeight="1">
      <c r="A41" s="199"/>
      <c r="B41" s="205">
        <v>1.9699999999999999E-2</v>
      </c>
      <c r="C41" s="200"/>
      <c r="D41" s="207">
        <v>0.5</v>
      </c>
      <c r="E41" s="199"/>
      <c r="F41" s="205">
        <v>8.8999999999999996E-2</v>
      </c>
      <c r="G41" s="200">
        <v>43</v>
      </c>
      <c r="H41" s="207"/>
      <c r="I41" s="199"/>
      <c r="J41" s="205">
        <v>0.19600000000000001</v>
      </c>
      <c r="K41" s="200">
        <v>9</v>
      </c>
      <c r="L41" s="207"/>
      <c r="M41" s="199" t="s">
        <v>226</v>
      </c>
      <c r="N41" s="205">
        <v>0.3281</v>
      </c>
      <c r="O41" s="200"/>
      <c r="P41" s="207"/>
      <c r="Q41" s="199" t="s">
        <v>921</v>
      </c>
      <c r="R41" s="205">
        <v>0.73440000000000005</v>
      </c>
      <c r="S41" s="210"/>
      <c r="T41" s="209"/>
    </row>
    <row r="42" spans="1:20" ht="9.4499999999999993" customHeight="1">
      <c r="A42" s="199"/>
      <c r="B42" s="205">
        <v>0.02</v>
      </c>
      <c r="C42" s="200">
        <v>76</v>
      </c>
      <c r="D42" s="207"/>
      <c r="E42" s="199"/>
      <c r="F42" s="205">
        <v>9.06E-2</v>
      </c>
      <c r="G42" s="200"/>
      <c r="H42" s="207">
        <v>2.2999999999999998</v>
      </c>
      <c r="I42" s="199"/>
      <c r="J42" s="205">
        <v>0.19689999999999999</v>
      </c>
      <c r="K42" s="200"/>
      <c r="L42" s="207">
        <v>5</v>
      </c>
      <c r="M42" s="199"/>
      <c r="N42" s="205">
        <v>0.33069999999999999</v>
      </c>
      <c r="O42" s="200"/>
      <c r="P42" s="207">
        <v>8.4</v>
      </c>
      <c r="Q42" s="199"/>
      <c r="R42" s="205">
        <v>0.748</v>
      </c>
      <c r="S42" s="210"/>
      <c r="T42" s="209">
        <v>19</v>
      </c>
    </row>
    <row r="43" spans="1:20" ht="9.4499999999999993" customHeight="1">
      <c r="A43" s="199"/>
      <c r="B43" s="205">
        <v>2.1000000000000001E-2</v>
      </c>
      <c r="C43" s="200">
        <v>75</v>
      </c>
      <c r="D43" s="207"/>
      <c r="E43" s="199"/>
      <c r="F43" s="205">
        <v>9.2499999999999999E-2</v>
      </c>
      <c r="G43" s="200"/>
      <c r="H43" s="207">
        <v>2.35</v>
      </c>
      <c r="I43" s="199"/>
      <c r="J43" s="205">
        <v>0.19900000000000001</v>
      </c>
      <c r="K43" s="200">
        <v>8</v>
      </c>
      <c r="L43" s="207"/>
      <c r="M43" s="199"/>
      <c r="N43" s="205">
        <v>0.33200000000000002</v>
      </c>
      <c r="O43" s="200" t="s">
        <v>920</v>
      </c>
      <c r="P43" s="207"/>
      <c r="Q43" s="199" t="s">
        <v>924</v>
      </c>
      <c r="R43" s="205">
        <v>0.75</v>
      </c>
      <c r="S43" s="210"/>
      <c r="T43" s="209"/>
    </row>
    <row r="44" spans="1:20" ht="9.4499999999999993" customHeight="1">
      <c r="A44" s="199"/>
      <c r="B44" s="205">
        <v>2.1700000000000001E-2</v>
      </c>
      <c r="C44" s="200"/>
      <c r="D44" s="207">
        <v>0.55000000000000004</v>
      </c>
      <c r="E44" s="199"/>
      <c r="F44" s="205">
        <v>9.35E-2</v>
      </c>
      <c r="G44" s="200">
        <v>42</v>
      </c>
      <c r="H44" s="207"/>
      <c r="I44" s="199"/>
      <c r="J44" s="205">
        <v>0.20080000000000001</v>
      </c>
      <c r="K44" s="200"/>
      <c r="L44" s="207">
        <v>5.0999999999999996</v>
      </c>
      <c r="M44" s="199"/>
      <c r="N44" s="205">
        <v>0.33460000000000001</v>
      </c>
      <c r="O44" s="200"/>
      <c r="P44" s="207">
        <v>8.5</v>
      </c>
      <c r="Q44" s="199" t="s">
        <v>927</v>
      </c>
      <c r="R44" s="205">
        <v>0.76559999999999995</v>
      </c>
      <c r="S44" s="210"/>
      <c r="T44" s="209"/>
    </row>
    <row r="45" spans="1:20" ht="9.4499999999999993" customHeight="1">
      <c r="A45" s="199"/>
      <c r="B45" s="205">
        <v>2.2499999999999999E-2</v>
      </c>
      <c r="C45" s="200">
        <v>74</v>
      </c>
      <c r="D45" s="207"/>
      <c r="E45" s="199" t="s">
        <v>225</v>
      </c>
      <c r="F45" s="205">
        <v>9.3800000000000008E-2</v>
      </c>
      <c r="G45" s="200"/>
      <c r="H45" s="207"/>
      <c r="I45" s="199"/>
      <c r="J45" s="205">
        <v>0.20100000000000001</v>
      </c>
      <c r="K45" s="200">
        <v>7</v>
      </c>
      <c r="L45" s="207"/>
      <c r="M45" s="199"/>
      <c r="N45" s="205">
        <v>0.33860000000000001</v>
      </c>
      <c r="O45" s="200"/>
      <c r="P45" s="207">
        <v>8.6</v>
      </c>
      <c r="Q45" s="199"/>
      <c r="R45" s="205">
        <v>0.76770000000000005</v>
      </c>
      <c r="S45" s="210"/>
      <c r="T45" s="209">
        <v>19.5</v>
      </c>
    </row>
    <row r="46" spans="1:20" ht="9.4499999999999993" customHeight="1">
      <c r="A46" s="199"/>
      <c r="B46" s="205">
        <v>2.3599999999999999E-2</v>
      </c>
      <c r="C46" s="200"/>
      <c r="D46" s="207">
        <v>0.6</v>
      </c>
      <c r="E46" s="199"/>
      <c r="F46" s="205">
        <v>9.4500000000000001E-2</v>
      </c>
      <c r="G46" s="200"/>
      <c r="H46" s="207">
        <v>2.4</v>
      </c>
      <c r="I46" s="199" t="s">
        <v>922</v>
      </c>
      <c r="J46" s="205">
        <v>0.2031</v>
      </c>
      <c r="K46" s="200"/>
      <c r="L46" s="207"/>
      <c r="M46" s="199"/>
      <c r="N46" s="205">
        <v>0.33900000000000002</v>
      </c>
      <c r="O46" s="200" t="s">
        <v>926</v>
      </c>
      <c r="P46" s="207"/>
      <c r="Q46" s="199" t="s">
        <v>930</v>
      </c>
      <c r="R46" s="205">
        <v>0.78120000000000001</v>
      </c>
      <c r="S46" s="210"/>
      <c r="T46" s="209"/>
    </row>
    <row r="47" spans="1:20" ht="9.4499999999999993" customHeight="1">
      <c r="A47" s="199"/>
      <c r="B47" s="205">
        <v>2.4E-2</v>
      </c>
      <c r="C47" s="200">
        <v>73</v>
      </c>
      <c r="D47" s="207"/>
      <c r="E47" s="199"/>
      <c r="F47" s="205">
        <v>9.6000000000000002E-2</v>
      </c>
      <c r="G47" s="200">
        <v>41</v>
      </c>
      <c r="H47" s="207"/>
      <c r="I47" s="199"/>
      <c r="J47" s="205">
        <v>0.20400000000000001</v>
      </c>
      <c r="K47" s="200">
        <v>6</v>
      </c>
      <c r="L47" s="207"/>
      <c r="M47" s="199"/>
      <c r="N47" s="205">
        <v>0.34250000000000003</v>
      </c>
      <c r="O47" s="200"/>
      <c r="P47" s="207">
        <v>8.6999999999999993</v>
      </c>
      <c r="Q47" s="199"/>
      <c r="R47" s="205">
        <v>0.78739999999999999</v>
      </c>
      <c r="S47" s="210"/>
      <c r="T47" s="209">
        <v>20</v>
      </c>
    </row>
    <row r="48" spans="1:20" ht="9.4499999999999993" customHeight="1">
      <c r="A48" s="199"/>
      <c r="B48" s="205">
        <v>2.5000000000000001E-2</v>
      </c>
      <c r="C48" s="200">
        <v>72</v>
      </c>
      <c r="D48" s="207"/>
      <c r="E48" s="199"/>
      <c r="F48" s="205">
        <v>9.6500000000000002E-2</v>
      </c>
      <c r="G48" s="200"/>
      <c r="H48" s="207">
        <v>2.4500000000000002</v>
      </c>
      <c r="I48" s="199"/>
      <c r="J48" s="205">
        <v>0.20469999999999999</v>
      </c>
      <c r="K48" s="200"/>
      <c r="L48" s="207">
        <v>5.2</v>
      </c>
      <c r="M48" s="199" t="s">
        <v>929</v>
      </c>
      <c r="N48" s="205">
        <v>0.34379999999999999</v>
      </c>
      <c r="O48" s="200"/>
      <c r="P48" s="207"/>
      <c r="Q48" s="199" t="s">
        <v>932</v>
      </c>
      <c r="R48" s="205">
        <v>0.79690000000000005</v>
      </c>
      <c r="S48" s="210"/>
      <c r="T48" s="209"/>
    </row>
    <row r="49" spans="1:20" ht="9.4499999999999993" customHeight="1">
      <c r="A49" s="199"/>
      <c r="B49" s="205">
        <v>2.5600000000000001E-2</v>
      </c>
      <c r="C49" s="200"/>
      <c r="D49" s="207">
        <v>0.65</v>
      </c>
      <c r="E49" s="199"/>
      <c r="F49" s="205">
        <v>9.8000000000000004E-2</v>
      </c>
      <c r="G49" s="200">
        <v>40</v>
      </c>
      <c r="H49" s="207"/>
      <c r="I49" s="199"/>
      <c r="J49" s="205">
        <v>0.20550000000000002</v>
      </c>
      <c r="K49" s="200">
        <v>5</v>
      </c>
      <c r="L49" s="207"/>
      <c r="M49" s="199"/>
      <c r="N49" s="205">
        <v>0.34450000000000003</v>
      </c>
      <c r="O49" s="200"/>
      <c r="P49" s="207">
        <v>8.75</v>
      </c>
      <c r="Q49" s="199"/>
      <c r="R49" s="205">
        <v>0.80710000000000004</v>
      </c>
      <c r="S49" s="210"/>
      <c r="T49" s="209">
        <v>20.5</v>
      </c>
    </row>
    <row r="50" spans="1:20" ht="9.4499999999999993" customHeight="1">
      <c r="A50" s="199"/>
      <c r="B50" s="205">
        <v>2.5999999999999999E-2</v>
      </c>
      <c r="C50" s="200">
        <v>71</v>
      </c>
      <c r="D50" s="207"/>
      <c r="E50" s="199"/>
      <c r="F50" s="205">
        <v>9.8400000000000001E-2</v>
      </c>
      <c r="G50" s="200"/>
      <c r="H50" s="207">
        <v>2.5</v>
      </c>
      <c r="I50" s="199"/>
      <c r="J50" s="205">
        <v>0.20669999999999999</v>
      </c>
      <c r="K50" s="200"/>
      <c r="L50" s="207">
        <v>5.25</v>
      </c>
      <c r="M50" s="199"/>
      <c r="N50" s="205">
        <v>0.34650000000000003</v>
      </c>
      <c r="O50" s="200"/>
      <c r="P50" s="207">
        <v>8.8000000000000007</v>
      </c>
      <c r="Q50" s="199" t="s">
        <v>935</v>
      </c>
      <c r="R50" s="205">
        <v>0.8125</v>
      </c>
      <c r="S50" s="210"/>
      <c r="T50" s="209"/>
    </row>
    <row r="51" spans="1:20" ht="9.4499999999999993" customHeight="1">
      <c r="A51" s="199"/>
      <c r="B51" s="205">
        <v>2.76E-2</v>
      </c>
      <c r="C51" s="200"/>
      <c r="D51" s="207">
        <v>0.7</v>
      </c>
      <c r="E51" s="199"/>
      <c r="F51" s="205">
        <v>9.9500000000000005E-2</v>
      </c>
      <c r="G51" s="200">
        <v>39</v>
      </c>
      <c r="H51" s="207"/>
      <c r="I51" s="199"/>
      <c r="J51" s="205">
        <v>0.2087</v>
      </c>
      <c r="K51" s="200"/>
      <c r="L51" s="207">
        <v>5.3</v>
      </c>
      <c r="M51" s="199"/>
      <c r="N51" s="205">
        <v>0.34800000000000003</v>
      </c>
      <c r="O51" s="200" t="s">
        <v>933</v>
      </c>
      <c r="P51" s="207"/>
      <c r="Q51" s="199"/>
      <c r="R51" s="205">
        <v>0.82679999999999998</v>
      </c>
      <c r="S51" s="210"/>
      <c r="T51" s="209">
        <v>21</v>
      </c>
    </row>
    <row r="52" spans="1:20" ht="9.4499999999999993" customHeight="1">
      <c r="A52" s="199"/>
      <c r="B52" s="205">
        <v>2.8000000000000001E-2</v>
      </c>
      <c r="C52" s="200">
        <v>70</v>
      </c>
      <c r="D52" s="207"/>
      <c r="E52" s="199"/>
      <c r="F52" s="205">
        <v>0.10150000000000001</v>
      </c>
      <c r="G52" s="200">
        <v>38</v>
      </c>
      <c r="H52" s="207"/>
      <c r="I52" s="199"/>
      <c r="J52" s="205">
        <v>0.20899999999999999</v>
      </c>
      <c r="K52" s="200">
        <v>4</v>
      </c>
      <c r="L52" s="207"/>
      <c r="M52" s="199"/>
      <c r="N52" s="205">
        <v>0.35039999999999999</v>
      </c>
      <c r="O52" s="200"/>
      <c r="P52" s="207">
        <v>8.9</v>
      </c>
      <c r="Q52" s="199" t="s">
        <v>940</v>
      </c>
      <c r="R52" s="205">
        <v>0.82809999999999995</v>
      </c>
      <c r="S52" s="210"/>
      <c r="T52" s="209"/>
    </row>
    <row r="53" spans="1:20" ht="9.4499999999999993" customHeight="1">
      <c r="A53" s="199"/>
      <c r="B53" s="205">
        <v>2.92E-2</v>
      </c>
      <c r="C53" s="200">
        <v>69</v>
      </c>
      <c r="D53" s="207"/>
      <c r="E53" s="199"/>
      <c r="F53" s="205">
        <v>0.1024</v>
      </c>
      <c r="G53" s="200"/>
      <c r="H53" s="207">
        <v>2.6</v>
      </c>
      <c r="I53" s="199"/>
      <c r="J53" s="205">
        <v>0.21260000000000001</v>
      </c>
      <c r="K53" s="200"/>
      <c r="L53" s="207">
        <v>5.4</v>
      </c>
      <c r="M53" s="199"/>
      <c r="N53" s="205">
        <v>0.3543</v>
      </c>
      <c r="O53" s="200"/>
      <c r="P53" s="207">
        <v>9</v>
      </c>
      <c r="Q53" s="199" t="s">
        <v>942</v>
      </c>
      <c r="R53" s="205">
        <v>0.84379999999999999</v>
      </c>
      <c r="S53" s="210"/>
      <c r="T53" s="209"/>
    </row>
    <row r="54" spans="1:20" ht="9.4499999999999993" customHeight="1">
      <c r="A54" s="199"/>
      <c r="B54" s="205">
        <v>2.9499999999999998E-2</v>
      </c>
      <c r="C54" s="200"/>
      <c r="D54" s="207">
        <v>0.75</v>
      </c>
      <c r="E54" s="199"/>
      <c r="F54" s="205">
        <v>0.10400000000000001</v>
      </c>
      <c r="G54" s="200">
        <v>37</v>
      </c>
      <c r="H54" s="207"/>
      <c r="I54" s="199"/>
      <c r="J54" s="205">
        <v>0.21299999999999999</v>
      </c>
      <c r="K54" s="200">
        <v>3</v>
      </c>
      <c r="L54" s="207"/>
      <c r="M54" s="199"/>
      <c r="N54" s="205">
        <v>0.35799999999999998</v>
      </c>
      <c r="O54" s="200" t="s">
        <v>939</v>
      </c>
      <c r="P54" s="207"/>
      <c r="Q54" s="199"/>
      <c r="R54" s="205">
        <v>0.84650000000000003</v>
      </c>
      <c r="S54" s="210"/>
      <c r="T54" s="209">
        <v>21.5</v>
      </c>
    </row>
    <row r="55" spans="1:20" ht="9.4499999999999993" customHeight="1">
      <c r="A55" s="199"/>
      <c r="B55" s="205">
        <v>3.1E-2</v>
      </c>
      <c r="C55" s="200">
        <v>68</v>
      </c>
      <c r="D55" s="207"/>
      <c r="E55" s="199"/>
      <c r="F55" s="205">
        <v>0.10630000000000001</v>
      </c>
      <c r="G55" s="200"/>
      <c r="H55" s="207">
        <v>2.7</v>
      </c>
      <c r="I55" s="199"/>
      <c r="J55" s="205">
        <v>0.2165</v>
      </c>
      <c r="K55" s="200"/>
      <c r="L55" s="207">
        <v>5.5</v>
      </c>
      <c r="M55" s="199"/>
      <c r="N55" s="205">
        <v>0.35830000000000001</v>
      </c>
      <c r="O55" s="200"/>
      <c r="P55" s="207">
        <v>9.1</v>
      </c>
      <c r="Q55" s="199" t="s">
        <v>945</v>
      </c>
      <c r="R55" s="205">
        <v>0.85940000000000005</v>
      </c>
      <c r="S55" s="210"/>
      <c r="T55" s="209"/>
    </row>
    <row r="56" spans="1:20" ht="9.4499999999999993" customHeight="1">
      <c r="A56" s="199" t="s">
        <v>954</v>
      </c>
      <c r="B56" s="205">
        <v>3.1199999999999999E-2</v>
      </c>
      <c r="C56" s="200"/>
      <c r="D56" s="207"/>
      <c r="E56" s="199"/>
      <c r="F56" s="205">
        <v>0.1065</v>
      </c>
      <c r="G56" s="200">
        <v>36</v>
      </c>
      <c r="H56" s="207"/>
      <c r="I56" s="199" t="s">
        <v>938</v>
      </c>
      <c r="J56" s="205">
        <v>0.21879999999999999</v>
      </c>
      <c r="K56" s="200"/>
      <c r="L56" s="207"/>
      <c r="M56" s="199" t="s">
        <v>943</v>
      </c>
      <c r="N56" s="205">
        <v>0.3594</v>
      </c>
      <c r="O56" s="200"/>
      <c r="P56" s="207"/>
      <c r="Q56" s="199"/>
      <c r="R56" s="205">
        <v>0.86609999999999998</v>
      </c>
      <c r="S56" s="210"/>
      <c r="T56" s="209">
        <v>22</v>
      </c>
    </row>
    <row r="57" spans="1:20" ht="9.4499999999999993" customHeight="1">
      <c r="A57" s="199"/>
      <c r="B57" s="205">
        <v>3.15E-2</v>
      </c>
      <c r="C57" s="200"/>
      <c r="D57" s="207">
        <v>0.8</v>
      </c>
      <c r="E57" s="199"/>
      <c r="F57" s="205">
        <v>0.10829999999999999</v>
      </c>
      <c r="G57" s="200"/>
      <c r="H57" s="207">
        <v>2.75</v>
      </c>
      <c r="I57" s="199"/>
      <c r="J57" s="205">
        <v>0.2205</v>
      </c>
      <c r="K57" s="200"/>
      <c r="L57" s="207">
        <v>5.6</v>
      </c>
      <c r="M57" s="199"/>
      <c r="N57" s="205">
        <v>0.36220000000000002</v>
      </c>
      <c r="O57" s="200"/>
      <c r="P57" s="207">
        <v>9.1999999999999993</v>
      </c>
      <c r="Q57" s="199" t="s">
        <v>947</v>
      </c>
      <c r="R57" s="205">
        <v>0.875</v>
      </c>
      <c r="S57" s="210"/>
      <c r="T57" s="209"/>
    </row>
    <row r="58" spans="1:20" ht="9.4499999999999993" customHeight="1">
      <c r="A58" s="199"/>
      <c r="B58" s="205">
        <v>3.2000000000000001E-2</v>
      </c>
      <c r="C58" s="200">
        <v>67</v>
      </c>
      <c r="D58" s="207"/>
      <c r="E58" s="199" t="s">
        <v>937</v>
      </c>
      <c r="F58" s="205">
        <v>0.1094</v>
      </c>
      <c r="G58" s="200"/>
      <c r="H58" s="207"/>
      <c r="I58" s="199"/>
      <c r="J58" s="205">
        <v>0.221</v>
      </c>
      <c r="K58" s="200">
        <v>2</v>
      </c>
      <c r="L58" s="207"/>
      <c r="M58" s="199"/>
      <c r="N58" s="205">
        <v>0.36420000000000002</v>
      </c>
      <c r="O58" s="200"/>
      <c r="P58" s="207">
        <v>9.25</v>
      </c>
      <c r="Q58" s="199"/>
      <c r="R58" s="205">
        <v>0.88580000000000003</v>
      </c>
      <c r="S58" s="210"/>
      <c r="T58" s="209">
        <v>22.5</v>
      </c>
    </row>
    <row r="59" spans="1:20" ht="9.4499999999999993" customHeight="1">
      <c r="A59" s="199"/>
      <c r="B59" s="205">
        <v>3.3000000000000002E-2</v>
      </c>
      <c r="C59" s="200">
        <v>66</v>
      </c>
      <c r="D59" s="207"/>
      <c r="E59" s="199"/>
      <c r="F59" s="205">
        <v>0.11</v>
      </c>
      <c r="G59" s="200">
        <v>35</v>
      </c>
      <c r="H59" s="207"/>
      <c r="I59" s="199"/>
      <c r="J59" s="205">
        <v>0.22439999999999999</v>
      </c>
      <c r="K59" s="200"/>
      <c r="L59" s="207">
        <v>5.7</v>
      </c>
      <c r="M59" s="199"/>
      <c r="N59" s="205">
        <v>0.36609999999999998</v>
      </c>
      <c r="O59" s="200"/>
      <c r="P59" s="207">
        <v>9.3000000000000007</v>
      </c>
      <c r="Q59" s="199" t="s">
        <v>950</v>
      </c>
      <c r="R59" s="205">
        <v>0.89059999999999995</v>
      </c>
      <c r="S59" s="210"/>
      <c r="T59" s="209"/>
    </row>
    <row r="60" spans="1:20" ht="9.4499999999999993" customHeight="1">
      <c r="A60" s="199"/>
      <c r="B60" s="205">
        <v>3.3500000000000002E-2</v>
      </c>
      <c r="C60" s="200"/>
      <c r="D60" s="207">
        <v>0.85</v>
      </c>
      <c r="E60" s="199"/>
      <c r="F60" s="205">
        <v>0.11020000000000001</v>
      </c>
      <c r="G60" s="200"/>
      <c r="H60" s="207">
        <v>2.8</v>
      </c>
      <c r="I60" s="199"/>
      <c r="J60" s="205">
        <v>0.22639999999999999</v>
      </c>
      <c r="K60" s="200"/>
      <c r="L60" s="207">
        <v>5.75</v>
      </c>
      <c r="M60" s="199"/>
      <c r="N60" s="205">
        <v>0.36799999999999999</v>
      </c>
      <c r="O60" s="200" t="s">
        <v>948</v>
      </c>
      <c r="P60" s="207"/>
      <c r="Q60" s="199"/>
      <c r="R60" s="205">
        <v>0.90549999999999997</v>
      </c>
      <c r="S60" s="210"/>
      <c r="T60" s="209">
        <v>23</v>
      </c>
    </row>
    <row r="61" spans="1:20" ht="9.4499999999999993" customHeight="1">
      <c r="A61" s="199"/>
      <c r="B61" s="205">
        <v>3.5000000000000003E-2</v>
      </c>
      <c r="C61" s="200">
        <v>65</v>
      </c>
      <c r="D61" s="207"/>
      <c r="E61" s="199"/>
      <c r="F61" s="205">
        <v>0.111</v>
      </c>
      <c r="G61" s="200">
        <v>34</v>
      </c>
      <c r="H61" s="207"/>
      <c r="I61" s="199"/>
      <c r="J61" s="205">
        <v>0.22800000000000001</v>
      </c>
      <c r="K61" s="200">
        <v>1</v>
      </c>
      <c r="L61" s="207"/>
      <c r="M61" s="199"/>
      <c r="N61" s="205">
        <v>0.37009999999999998</v>
      </c>
      <c r="O61" s="200"/>
      <c r="P61" s="207">
        <v>9.4</v>
      </c>
      <c r="Q61" s="199" t="s">
        <v>146</v>
      </c>
      <c r="R61" s="205">
        <v>0.90620000000000001</v>
      </c>
      <c r="S61" s="210"/>
      <c r="T61" s="209"/>
    </row>
    <row r="62" spans="1:20" ht="9.4499999999999993" customHeight="1">
      <c r="A62" s="199"/>
      <c r="B62" s="205">
        <v>3.5400000000000001E-2</v>
      </c>
      <c r="C62" s="200"/>
      <c r="D62" s="207">
        <v>0.9</v>
      </c>
      <c r="E62" s="199"/>
      <c r="F62" s="205">
        <v>0.113</v>
      </c>
      <c r="G62" s="200">
        <v>33</v>
      </c>
      <c r="H62" s="207"/>
      <c r="I62" s="199"/>
      <c r="J62" s="205">
        <v>0.2283</v>
      </c>
      <c r="K62" s="200"/>
      <c r="L62" s="207">
        <v>5.8</v>
      </c>
      <c r="M62" s="199"/>
      <c r="N62" s="205">
        <v>0.374</v>
      </c>
      <c r="O62" s="200"/>
      <c r="P62" s="207">
        <v>9.5</v>
      </c>
      <c r="Q62" s="199" t="s">
        <v>149</v>
      </c>
      <c r="R62" s="205">
        <v>0.92190000000000005</v>
      </c>
      <c r="S62" s="210"/>
      <c r="T62" s="209"/>
    </row>
    <row r="63" spans="1:20" ht="9.4499999999999993" customHeight="1">
      <c r="A63" s="199"/>
      <c r="B63" s="205">
        <v>3.5999999999999997E-2</v>
      </c>
      <c r="C63" s="200">
        <v>64</v>
      </c>
      <c r="D63" s="207"/>
      <c r="E63" s="199"/>
      <c r="F63" s="205">
        <v>0.1142</v>
      </c>
      <c r="G63" s="200"/>
      <c r="H63" s="207">
        <v>2.9</v>
      </c>
      <c r="I63" s="199"/>
      <c r="J63" s="205">
        <v>0.23230000000000001</v>
      </c>
      <c r="K63" s="200"/>
      <c r="L63" s="207">
        <v>5.9</v>
      </c>
      <c r="M63" s="199" t="s">
        <v>145</v>
      </c>
      <c r="N63" s="205">
        <v>0.375</v>
      </c>
      <c r="O63" s="200"/>
      <c r="P63" s="207"/>
      <c r="Q63" s="199"/>
      <c r="R63" s="205">
        <v>0.92520000000000002</v>
      </c>
      <c r="S63" s="210"/>
      <c r="T63" s="209">
        <v>23.5</v>
      </c>
    </row>
    <row r="64" spans="1:20" ht="9.4499999999999993" customHeight="1">
      <c r="A64" s="199"/>
      <c r="B64" s="205">
        <v>3.6999999999999998E-2</v>
      </c>
      <c r="C64" s="200">
        <v>63</v>
      </c>
      <c r="D64" s="207"/>
      <c r="E64" s="199"/>
      <c r="F64" s="205">
        <v>0.11600000000000001</v>
      </c>
      <c r="G64" s="200">
        <v>32</v>
      </c>
      <c r="H64" s="207"/>
      <c r="I64" s="199"/>
      <c r="J64" s="205">
        <v>0.23400000000000001</v>
      </c>
      <c r="K64" s="200" t="s">
        <v>952</v>
      </c>
      <c r="L64" s="207"/>
      <c r="M64" s="199"/>
      <c r="N64" s="205">
        <v>0.377</v>
      </c>
      <c r="O64" s="200" t="s">
        <v>148</v>
      </c>
      <c r="P64" s="207"/>
      <c r="Q64" s="199" t="s">
        <v>151</v>
      </c>
      <c r="R64" s="205">
        <v>0.9375</v>
      </c>
      <c r="S64" s="210"/>
      <c r="T64" s="209"/>
    </row>
    <row r="65" spans="1:20" ht="9.4499999999999993" customHeight="1">
      <c r="A65" s="199"/>
      <c r="B65" s="205">
        <v>3.7400000000000003E-2</v>
      </c>
      <c r="C65" s="200"/>
      <c r="D65" s="207">
        <v>0.95</v>
      </c>
      <c r="E65" s="199"/>
      <c r="F65" s="205">
        <v>0.1181</v>
      </c>
      <c r="G65" s="200"/>
      <c r="H65" s="207">
        <v>3</v>
      </c>
      <c r="I65" s="199" t="s">
        <v>144</v>
      </c>
      <c r="J65" s="205">
        <v>0.2344</v>
      </c>
      <c r="K65" s="200"/>
      <c r="L65" s="207"/>
      <c r="M65" s="199"/>
      <c r="N65" s="205">
        <v>0.378</v>
      </c>
      <c r="O65" s="200"/>
      <c r="P65" s="207">
        <v>9.6</v>
      </c>
      <c r="Q65" s="199"/>
      <c r="R65" s="205">
        <v>0.94489999999999996</v>
      </c>
      <c r="S65" s="210"/>
      <c r="T65" s="209">
        <v>24</v>
      </c>
    </row>
    <row r="66" spans="1:20" ht="9.4499999999999993" customHeight="1">
      <c r="A66" s="199"/>
      <c r="B66" s="205">
        <v>3.7999999999999999E-2</v>
      </c>
      <c r="C66" s="200">
        <v>62</v>
      </c>
      <c r="D66" s="207"/>
      <c r="E66" s="199"/>
      <c r="F66" s="205">
        <v>0.12</v>
      </c>
      <c r="G66" s="200">
        <v>31</v>
      </c>
      <c r="H66" s="207"/>
      <c r="I66" s="199"/>
      <c r="J66" s="205">
        <v>0.23619999999999999</v>
      </c>
      <c r="K66" s="200"/>
      <c r="L66" s="207">
        <v>6</v>
      </c>
      <c r="M66" s="199"/>
      <c r="N66" s="205">
        <v>0.38190000000000002</v>
      </c>
      <c r="O66" s="200"/>
      <c r="P66" s="207">
        <v>9.6999999999999993</v>
      </c>
      <c r="Q66" s="199" t="s">
        <v>153</v>
      </c>
      <c r="R66" s="205">
        <v>0.95309999999999995</v>
      </c>
      <c r="S66" s="210"/>
      <c r="T66" s="209"/>
    </row>
    <row r="67" spans="1:20" ht="9.4499999999999993" customHeight="1">
      <c r="A67" s="199"/>
      <c r="B67" s="205">
        <v>3.9E-2</v>
      </c>
      <c r="C67" s="200">
        <v>61</v>
      </c>
      <c r="D67" s="207"/>
      <c r="E67" s="199"/>
      <c r="F67" s="205">
        <v>0.122</v>
      </c>
      <c r="G67" s="200"/>
      <c r="H67" s="207">
        <v>3.1</v>
      </c>
      <c r="I67" s="199"/>
      <c r="J67" s="205">
        <v>0.23800000000000002</v>
      </c>
      <c r="K67" s="200" t="s">
        <v>150</v>
      </c>
      <c r="L67" s="207"/>
      <c r="M67" s="199"/>
      <c r="N67" s="205">
        <v>0.38390000000000002</v>
      </c>
      <c r="O67" s="200"/>
      <c r="P67" s="207">
        <v>9.75</v>
      </c>
      <c r="Q67" s="199"/>
      <c r="R67" s="205">
        <v>0.96460000000000001</v>
      </c>
      <c r="S67" s="210"/>
      <c r="T67" s="209">
        <v>24.5</v>
      </c>
    </row>
    <row r="68" spans="1:20" ht="9.4499999999999993" customHeight="1">
      <c r="A68" s="199"/>
      <c r="B68" s="205">
        <v>3.9399999999999998E-2</v>
      </c>
      <c r="C68" s="200"/>
      <c r="D68" s="207">
        <v>1</v>
      </c>
      <c r="E68" s="199" t="s">
        <v>147</v>
      </c>
      <c r="F68" s="205">
        <v>0.125</v>
      </c>
      <c r="G68" s="200"/>
      <c r="H68" s="207"/>
      <c r="I68" s="199"/>
      <c r="J68" s="205">
        <v>0.2402</v>
      </c>
      <c r="K68" s="200"/>
      <c r="L68" s="207">
        <v>6.1</v>
      </c>
      <c r="M68" s="199"/>
      <c r="N68" s="205">
        <v>0.38579999999999998</v>
      </c>
      <c r="O68" s="200"/>
      <c r="P68" s="207">
        <v>9.8000000000000007</v>
      </c>
      <c r="Q68" s="199" t="s">
        <v>156</v>
      </c>
      <c r="R68" s="205">
        <v>0.96879999999999999</v>
      </c>
      <c r="S68" s="210"/>
      <c r="T68" s="209"/>
    </row>
    <row r="69" spans="1:20" ht="9.4499999999999993" customHeight="1">
      <c r="A69" s="199"/>
      <c r="B69" s="205">
        <v>0.04</v>
      </c>
      <c r="C69" s="200">
        <v>60</v>
      </c>
      <c r="D69" s="207"/>
      <c r="E69" s="199"/>
      <c r="F69" s="205">
        <v>0.126</v>
      </c>
      <c r="G69" s="200"/>
      <c r="H69" s="207">
        <v>3.2</v>
      </c>
      <c r="I69" s="199"/>
      <c r="J69" s="205">
        <v>0.24199999999999999</v>
      </c>
      <c r="K69" s="200" t="s">
        <v>152</v>
      </c>
      <c r="L69" s="207"/>
      <c r="M69" s="199"/>
      <c r="N69" s="205">
        <v>0.38600000000000001</v>
      </c>
      <c r="O69" s="200" t="s">
        <v>155</v>
      </c>
      <c r="P69" s="207"/>
      <c r="Q69" s="199"/>
      <c r="R69" s="205">
        <v>0.98429999999999995</v>
      </c>
      <c r="S69" s="210"/>
      <c r="T69" s="209">
        <v>25</v>
      </c>
    </row>
    <row r="70" spans="1:20" ht="9.4499999999999993" customHeight="1">
      <c r="A70" s="199"/>
      <c r="B70" s="205">
        <v>4.1000000000000002E-2</v>
      </c>
      <c r="C70" s="200">
        <v>59</v>
      </c>
      <c r="D70" s="207"/>
      <c r="E70" s="199"/>
      <c r="F70" s="205">
        <v>0.128</v>
      </c>
      <c r="G70" s="200"/>
      <c r="H70" s="207">
        <v>3.25</v>
      </c>
      <c r="I70" s="199"/>
      <c r="J70" s="205">
        <v>0.24410000000000001</v>
      </c>
      <c r="K70" s="200"/>
      <c r="L70" s="207">
        <v>6.2</v>
      </c>
      <c r="M70" s="199"/>
      <c r="N70" s="205">
        <v>0.38979999999999998</v>
      </c>
      <c r="O70" s="200"/>
      <c r="P70" s="207">
        <v>9.9</v>
      </c>
      <c r="Q70" s="199" t="s">
        <v>161</v>
      </c>
      <c r="R70" s="205">
        <v>0.98440000000000005</v>
      </c>
      <c r="S70" s="210"/>
      <c r="T70" s="209"/>
    </row>
    <row r="71" spans="1:20" ht="9.4499999999999993" customHeight="1">
      <c r="A71" s="199"/>
      <c r="B71" s="205">
        <v>4.1300000000000003E-2</v>
      </c>
      <c r="C71" s="200"/>
      <c r="D71" s="207">
        <v>1.05</v>
      </c>
      <c r="E71" s="199"/>
      <c r="F71" s="205">
        <v>0.1285</v>
      </c>
      <c r="G71" s="200">
        <v>30</v>
      </c>
      <c r="H71" s="207"/>
      <c r="I71" s="199"/>
      <c r="J71" s="205">
        <v>0.246</v>
      </c>
      <c r="K71" s="200" t="s">
        <v>154</v>
      </c>
      <c r="L71" s="207"/>
      <c r="M71" s="199" t="s">
        <v>158</v>
      </c>
      <c r="N71" s="205">
        <v>0.3906</v>
      </c>
      <c r="O71" s="200"/>
      <c r="P71" s="207"/>
      <c r="Q71" s="199" t="s">
        <v>163</v>
      </c>
      <c r="R71" s="205">
        <v>1</v>
      </c>
      <c r="S71" s="200"/>
      <c r="T71" s="209"/>
    </row>
    <row r="72" spans="1:20" ht="9.4499999999999993" customHeight="1">
      <c r="A72" s="199"/>
      <c r="B72" s="205">
        <v>4.2000000000000003E-2</v>
      </c>
      <c r="C72" s="200">
        <v>58</v>
      </c>
      <c r="D72" s="208"/>
      <c r="E72" s="199"/>
      <c r="F72" s="205">
        <v>0.12989999999999999</v>
      </c>
      <c r="G72" s="200"/>
      <c r="H72" s="207">
        <v>3.3</v>
      </c>
      <c r="I72" s="199"/>
      <c r="J72" s="205">
        <v>0.24610000000000001</v>
      </c>
      <c r="K72" s="200"/>
      <c r="L72" s="207">
        <v>6.25</v>
      </c>
      <c r="M72" s="199"/>
      <c r="N72" s="205">
        <v>0.39369999999999999</v>
      </c>
      <c r="O72" s="200"/>
      <c r="P72" s="207">
        <v>10</v>
      </c>
      <c r="Q72" s="199"/>
      <c r="R72" s="205">
        <v>1.0039</v>
      </c>
      <c r="S72" s="200"/>
      <c r="T72" s="209">
        <v>25.5</v>
      </c>
    </row>
    <row r="73" spans="1:20" ht="9.4499999999999993" customHeight="1">
      <c r="A73" s="199"/>
      <c r="B73" s="205">
        <v>4.3000000000000003E-2</v>
      </c>
      <c r="C73" s="200">
        <v>57</v>
      </c>
      <c r="D73" s="207"/>
      <c r="E73" s="199"/>
      <c r="F73" s="205">
        <v>0.13389999999999999</v>
      </c>
      <c r="G73" s="200"/>
      <c r="H73" s="207">
        <v>3.4</v>
      </c>
      <c r="I73" s="199"/>
      <c r="J73" s="205">
        <v>0.248</v>
      </c>
      <c r="K73" s="200"/>
      <c r="L73" s="207">
        <v>6.3</v>
      </c>
      <c r="M73" s="203"/>
      <c r="N73" s="205">
        <v>0.39700000000000002</v>
      </c>
      <c r="O73" s="200" t="s">
        <v>120</v>
      </c>
      <c r="P73" s="207"/>
      <c r="Q73" s="199" t="s">
        <v>166</v>
      </c>
      <c r="R73" s="205">
        <v>1.0156000000000001</v>
      </c>
      <c r="S73" s="200"/>
      <c r="T73" s="209"/>
    </row>
    <row r="74" spans="1:20" ht="9.4499999999999993" customHeight="1" thickBot="1">
      <c r="A74" s="197"/>
      <c r="B74" s="206">
        <v>4.3300000000000005E-2</v>
      </c>
      <c r="C74" s="198"/>
      <c r="D74" s="211">
        <v>1.1000000000000001</v>
      </c>
      <c r="E74" s="197"/>
      <c r="F74" s="206">
        <v>0.13600000000000001</v>
      </c>
      <c r="G74" s="198">
        <v>29</v>
      </c>
      <c r="H74" s="211"/>
      <c r="I74" s="197" t="s">
        <v>159</v>
      </c>
      <c r="J74" s="206">
        <v>0.25</v>
      </c>
      <c r="K74" s="198" t="s">
        <v>160</v>
      </c>
      <c r="L74" s="211"/>
      <c r="M74" s="212"/>
      <c r="N74" s="206">
        <v>0.40400000000000003</v>
      </c>
      <c r="O74" s="198" t="s">
        <v>101</v>
      </c>
      <c r="P74" s="211"/>
      <c r="Q74" s="197"/>
      <c r="R74" s="206">
        <v>1.0236000000000001</v>
      </c>
      <c r="S74" s="198"/>
      <c r="T74" s="213">
        <v>26</v>
      </c>
    </row>
  </sheetData>
  <sheetProtection sheet="1" objects="1" scenarios="1"/>
  <phoneticPr fontId="0" type="noConversion"/>
  <printOptions horizontalCentered="1" verticalCentered="1" gridLinesSet="0"/>
  <pageMargins left="0.5" right="0.5" top="0.5" bottom="0.5" header="0.5" footer="0.5"/>
  <pageSetup scale="98" orientation="portrait" blackAndWhite="1" horizontalDpi="4294967292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codeName="Sheet12">
    <tabColor indexed="40"/>
    <pageSetUpPr fitToPage="1"/>
  </sheetPr>
  <dimension ref="B1:K52"/>
  <sheetViews>
    <sheetView showGridLines="0" showRowColHeaders="0" zoomScale="75" workbookViewId="0">
      <selection activeCell="C7" sqref="C7"/>
    </sheetView>
  </sheetViews>
  <sheetFormatPr defaultColWidth="9.81640625" defaultRowHeight="15"/>
  <cols>
    <col min="1" max="1" width="1.81640625" customWidth="1"/>
    <col min="2" max="2" width="11.81640625" customWidth="1"/>
    <col min="3" max="3" width="8.81640625" customWidth="1"/>
    <col min="4" max="4" width="5.81640625" customWidth="1"/>
    <col min="5" max="6" width="8.81640625" customWidth="1"/>
    <col min="7" max="7" width="10.81640625" customWidth="1"/>
    <col min="8" max="8" width="5.81640625" customWidth="1"/>
    <col min="9" max="10" width="8.81640625" customWidth="1"/>
    <col min="11" max="11" width="10.81640625" customWidth="1"/>
  </cols>
  <sheetData>
    <row r="1" spans="2:11" ht="24.6">
      <c r="B1" s="90" t="s">
        <v>955</v>
      </c>
      <c r="C1" s="89"/>
      <c r="D1" s="89"/>
      <c r="E1" s="89"/>
      <c r="F1" s="89"/>
      <c r="G1" s="89"/>
      <c r="H1" s="89"/>
      <c r="I1" s="89"/>
      <c r="J1" s="89"/>
      <c r="K1" s="92"/>
    </row>
    <row r="2" spans="2:11" ht="23.1" customHeight="1">
      <c r="B2" s="91"/>
      <c r="C2" s="51"/>
      <c r="D2" s="118" t="s">
        <v>956</v>
      </c>
      <c r="E2" s="119" t="s">
        <v>957</v>
      </c>
      <c r="F2" s="119" t="s">
        <v>958</v>
      </c>
      <c r="G2" s="120" t="s">
        <v>90</v>
      </c>
      <c r="H2" s="118" t="s">
        <v>956</v>
      </c>
      <c r="I2" s="119" t="s">
        <v>957</v>
      </c>
      <c r="J2" s="119" t="s">
        <v>958</v>
      </c>
      <c r="K2" s="121" t="s">
        <v>90</v>
      </c>
    </row>
    <row r="3" spans="2:11" ht="15" customHeight="1">
      <c r="B3" s="97" t="s">
        <v>959</v>
      </c>
      <c r="C3" s="115"/>
      <c r="D3" s="143" t="str">
        <f>IF(C9="","",1)</f>
        <v/>
      </c>
      <c r="E3" s="144" t="str">
        <f>IF(D3="","",ROUND((C7+$C$13)/$C$17,0)*$C$17)</f>
        <v/>
      </c>
      <c r="F3" s="144" t="str">
        <f>IF(D3="","",ROUND((C8+$C$14)/$C$17,0)*$C$17)</f>
        <v/>
      </c>
      <c r="G3" s="145" t="str">
        <f>IF(D3="","",0)</f>
        <v/>
      </c>
      <c r="H3" s="143" t="str">
        <f>IF(D52=ABS($C$9),"",IF(D52="","",D52+1))</f>
        <v/>
      </c>
      <c r="I3" s="146" t="str">
        <f>IF(H3="","",ROUND((((COS(K3/180*PI())*$C$7)+(SIN(K3/180*PI())*$C$8))+$C$13)/$C$17,0)*$C$17)</f>
        <v/>
      </c>
      <c r="J3" s="146" t="str">
        <f>IF(H3="","",ROUND((((COS(K3/180*PI())*$C$8)-(SIN(K3/180*PI())*$C$7))+$C$14)/$C$17,0)*$C$17)</f>
        <v/>
      </c>
      <c r="K3" s="147" t="str">
        <f>IF(H3="","",G52+$G$4)</f>
        <v/>
      </c>
    </row>
    <row r="4" spans="2:11" ht="15.6">
      <c r="B4" s="114" t="s">
        <v>960</v>
      </c>
      <c r="C4" s="115"/>
      <c r="D4" s="143" t="str">
        <f>IF(D3=ABS($C$9),"",IF(D3="","",D3+1))</f>
        <v/>
      </c>
      <c r="E4" s="146" t="str">
        <f>IF(D4="","",ROUND((((COS(G4/180*PI())*$C$7)+(SIN(G4/180*PI())*$C$8))+$C$13)/$C$17,0)*$C$17)</f>
        <v/>
      </c>
      <c r="F4" s="146" t="str">
        <f>IF(D4="","",ROUND((((COS(G4/180*PI())*$C$8)-(SIN(G4/180*PI())*$C$7))+$C$14)/$C$17,0)*$C$17)</f>
        <v/>
      </c>
      <c r="G4" s="148" t="str">
        <f>IF(D4="","",360/C9)</f>
        <v/>
      </c>
      <c r="H4" s="143" t="str">
        <f>IF(H3=ABS($C$9),"",IF(H3="","",H3+1))</f>
        <v/>
      </c>
      <c r="I4" s="146" t="str">
        <f t="shared" ref="I4:I52" si="0">IF(H4="","",ROUND((((COS(K4/180*PI())*$C$7)+(SIN(K4/180*PI())*$C$8))+$C$13)/$C$17,0)*$C$17)</f>
        <v/>
      </c>
      <c r="J4" s="146" t="str">
        <f t="shared" ref="J4:J52" si="1">IF(H4="","",ROUND((((COS(K4/180*PI())*$C$8)-(SIN(K4/180*PI())*$C$7))+$C$14)/$C$17,0)*$C$17)</f>
        <v/>
      </c>
      <c r="K4" s="147" t="str">
        <f>IF(H4="","",K3+$G$4)</f>
        <v/>
      </c>
    </row>
    <row r="5" spans="2:11" ht="15.6">
      <c r="B5" s="97" t="s">
        <v>656</v>
      </c>
      <c r="C5" s="115"/>
      <c r="D5" s="143" t="str">
        <f t="shared" ref="D5:D20" si="2">IF(D4=ABS($C$9),"",IF(D4="","",D4+1))</f>
        <v/>
      </c>
      <c r="E5" s="146" t="str">
        <f t="shared" ref="E5:E52" si="3">IF(D5="","",ROUND((((COS(G5/180*PI())*$C$7)+(SIN(G5/180*PI())*$C$8))+$C$13)/$C$17,0)*$C$17)</f>
        <v/>
      </c>
      <c r="F5" s="146" t="str">
        <f t="shared" ref="F5:F52" si="4">IF(D5="","",ROUND((((COS(G5/180*PI())*$C$8)-(SIN(G5/180*PI())*$C$7))+$C$14)/$C$17,0)*$C$17)</f>
        <v/>
      </c>
      <c r="G5" s="148" t="str">
        <f>IF(D5="","",G4*2)</f>
        <v/>
      </c>
      <c r="H5" s="143" t="str">
        <f t="shared" ref="H5:H20" si="5">IF(H4=ABS($C$9),"",IF(H4="","",H4+1))</f>
        <v/>
      </c>
      <c r="I5" s="146" t="str">
        <f t="shared" si="0"/>
        <v/>
      </c>
      <c r="J5" s="146" t="str">
        <f t="shared" si="1"/>
        <v/>
      </c>
      <c r="K5" s="147" t="str">
        <f t="shared" ref="K5:K20" si="6">IF(H5="","",K4+$G$4)</f>
        <v/>
      </c>
    </row>
    <row r="6" spans="2:11" ht="15.6">
      <c r="B6" s="116" t="s">
        <v>655</v>
      </c>
      <c r="C6" s="95"/>
      <c r="D6" s="143" t="str">
        <f t="shared" si="2"/>
        <v/>
      </c>
      <c r="E6" s="146" t="str">
        <f t="shared" si="3"/>
        <v/>
      </c>
      <c r="F6" s="146" t="str">
        <f t="shared" si="4"/>
        <v/>
      </c>
      <c r="G6" s="148" t="str">
        <f>IF(D6="","",G5+$G$4)</f>
        <v/>
      </c>
      <c r="H6" s="143" t="str">
        <f t="shared" si="5"/>
        <v/>
      </c>
      <c r="I6" s="146" t="str">
        <f t="shared" si="0"/>
        <v/>
      </c>
      <c r="J6" s="146" t="str">
        <f t="shared" si="1"/>
        <v/>
      </c>
      <c r="K6" s="147" t="str">
        <f t="shared" si="6"/>
        <v/>
      </c>
    </row>
    <row r="7" spans="2:11">
      <c r="B7" s="66" t="s">
        <v>961</v>
      </c>
      <c r="C7" s="141"/>
      <c r="D7" s="143" t="str">
        <f t="shared" si="2"/>
        <v/>
      </c>
      <c r="E7" s="146" t="str">
        <f t="shared" si="3"/>
        <v/>
      </c>
      <c r="F7" s="146" t="str">
        <f t="shared" si="4"/>
        <v/>
      </c>
      <c r="G7" s="148" t="str">
        <f t="shared" ref="G7:G22" si="7">IF(D7="","",G6+$G$4)</f>
        <v/>
      </c>
      <c r="H7" s="143" t="str">
        <f t="shared" si="5"/>
        <v/>
      </c>
      <c r="I7" s="146" t="str">
        <f t="shared" si="0"/>
        <v/>
      </c>
      <c r="J7" s="146" t="str">
        <f t="shared" si="1"/>
        <v/>
      </c>
      <c r="K7" s="147" t="str">
        <f t="shared" si="6"/>
        <v/>
      </c>
    </row>
    <row r="8" spans="2:11">
      <c r="B8" s="66" t="s">
        <v>962</v>
      </c>
      <c r="C8" s="141"/>
      <c r="D8" s="143" t="str">
        <f t="shared" si="2"/>
        <v/>
      </c>
      <c r="E8" s="146" t="str">
        <f t="shared" si="3"/>
        <v/>
      </c>
      <c r="F8" s="146" t="str">
        <f t="shared" si="4"/>
        <v/>
      </c>
      <c r="G8" s="148" t="str">
        <f t="shared" si="7"/>
        <v/>
      </c>
      <c r="H8" s="143" t="str">
        <f t="shared" si="5"/>
        <v/>
      </c>
      <c r="I8" s="146" t="str">
        <f t="shared" si="0"/>
        <v/>
      </c>
      <c r="J8" s="146" t="str">
        <f t="shared" si="1"/>
        <v/>
      </c>
      <c r="K8" s="147" t="str">
        <f t="shared" si="6"/>
        <v/>
      </c>
    </row>
    <row r="9" spans="2:11">
      <c r="B9" s="66" t="s">
        <v>963</v>
      </c>
      <c r="C9" s="142"/>
      <c r="D9" s="143" t="str">
        <f t="shared" si="2"/>
        <v/>
      </c>
      <c r="E9" s="146" t="str">
        <f t="shared" si="3"/>
        <v/>
      </c>
      <c r="F9" s="146" t="str">
        <f t="shared" si="4"/>
        <v/>
      </c>
      <c r="G9" s="148" t="str">
        <f t="shared" si="7"/>
        <v/>
      </c>
      <c r="H9" s="143" t="str">
        <f t="shared" si="5"/>
        <v/>
      </c>
      <c r="I9" s="146" t="str">
        <f t="shared" si="0"/>
        <v/>
      </c>
      <c r="J9" s="146" t="str">
        <f t="shared" si="1"/>
        <v/>
      </c>
      <c r="K9" s="147" t="str">
        <f t="shared" si="6"/>
        <v/>
      </c>
    </row>
    <row r="10" spans="2:11">
      <c r="B10" s="93"/>
      <c r="C10" s="15"/>
      <c r="D10" s="143" t="str">
        <f t="shared" si="2"/>
        <v/>
      </c>
      <c r="E10" s="146" t="str">
        <f t="shared" si="3"/>
        <v/>
      </c>
      <c r="F10" s="146" t="str">
        <f t="shared" si="4"/>
        <v/>
      </c>
      <c r="G10" s="148" t="str">
        <f t="shared" si="7"/>
        <v/>
      </c>
      <c r="H10" s="143" t="str">
        <f t="shared" si="5"/>
        <v/>
      </c>
      <c r="I10" s="146" t="str">
        <f t="shared" si="0"/>
        <v/>
      </c>
      <c r="J10" s="146" t="str">
        <f t="shared" si="1"/>
        <v/>
      </c>
      <c r="K10" s="147" t="str">
        <f t="shared" si="6"/>
        <v/>
      </c>
    </row>
    <row r="11" spans="2:11" ht="15.6">
      <c r="B11" s="114" t="s">
        <v>964</v>
      </c>
      <c r="C11" s="95"/>
      <c r="D11" s="143" t="str">
        <f t="shared" si="2"/>
        <v/>
      </c>
      <c r="E11" s="146" t="str">
        <f t="shared" si="3"/>
        <v/>
      </c>
      <c r="F11" s="146" t="str">
        <f t="shared" si="4"/>
        <v/>
      </c>
      <c r="G11" s="148" t="str">
        <f t="shared" si="7"/>
        <v/>
      </c>
      <c r="H11" s="143" t="str">
        <f t="shared" si="5"/>
        <v/>
      </c>
      <c r="I11" s="146" t="str">
        <f t="shared" si="0"/>
        <v/>
      </c>
      <c r="J11" s="146" t="str">
        <f t="shared" si="1"/>
        <v/>
      </c>
      <c r="K11" s="147" t="str">
        <f t="shared" si="6"/>
        <v/>
      </c>
    </row>
    <row r="12" spans="2:11" ht="15.6">
      <c r="B12" s="97" t="s">
        <v>965</v>
      </c>
      <c r="C12" s="95"/>
      <c r="D12" s="143" t="str">
        <f t="shared" si="2"/>
        <v/>
      </c>
      <c r="E12" s="146" t="str">
        <f t="shared" si="3"/>
        <v/>
      </c>
      <c r="F12" s="146" t="str">
        <f t="shared" si="4"/>
        <v/>
      </c>
      <c r="G12" s="148" t="str">
        <f t="shared" si="7"/>
        <v/>
      </c>
      <c r="H12" s="143" t="str">
        <f t="shared" si="5"/>
        <v/>
      </c>
      <c r="I12" s="146" t="str">
        <f t="shared" si="0"/>
        <v/>
      </c>
      <c r="J12" s="146" t="str">
        <f t="shared" si="1"/>
        <v/>
      </c>
      <c r="K12" s="147" t="str">
        <f t="shared" si="6"/>
        <v/>
      </c>
    </row>
    <row r="13" spans="2:11">
      <c r="B13" s="96" t="s">
        <v>966</v>
      </c>
      <c r="C13" s="141">
        <v>0</v>
      </c>
      <c r="D13" s="143" t="str">
        <f t="shared" si="2"/>
        <v/>
      </c>
      <c r="E13" s="146" t="str">
        <f t="shared" si="3"/>
        <v/>
      </c>
      <c r="F13" s="146" t="str">
        <f t="shared" si="4"/>
        <v/>
      </c>
      <c r="G13" s="148" t="str">
        <f t="shared" si="7"/>
        <v/>
      </c>
      <c r="H13" s="143" t="str">
        <f t="shared" si="5"/>
        <v/>
      </c>
      <c r="I13" s="146" t="str">
        <f t="shared" si="0"/>
        <v/>
      </c>
      <c r="J13" s="146" t="str">
        <f t="shared" si="1"/>
        <v/>
      </c>
      <c r="K13" s="147" t="str">
        <f t="shared" si="6"/>
        <v/>
      </c>
    </row>
    <row r="14" spans="2:11">
      <c r="B14" s="66" t="s">
        <v>967</v>
      </c>
      <c r="C14" s="141">
        <v>0</v>
      </c>
      <c r="D14" s="143" t="str">
        <f t="shared" si="2"/>
        <v/>
      </c>
      <c r="E14" s="146" t="str">
        <f t="shared" si="3"/>
        <v/>
      </c>
      <c r="F14" s="146" t="str">
        <f t="shared" si="4"/>
        <v/>
      </c>
      <c r="G14" s="148" t="str">
        <f t="shared" si="7"/>
        <v/>
      </c>
      <c r="H14" s="143" t="str">
        <f t="shared" si="5"/>
        <v/>
      </c>
      <c r="I14" s="146" t="str">
        <f t="shared" si="0"/>
        <v/>
      </c>
      <c r="J14" s="146" t="str">
        <f t="shared" si="1"/>
        <v/>
      </c>
      <c r="K14" s="147" t="str">
        <f t="shared" si="6"/>
        <v/>
      </c>
    </row>
    <row r="15" spans="2:11">
      <c r="B15" s="91"/>
      <c r="C15" s="51"/>
      <c r="D15" s="143" t="str">
        <f t="shared" si="2"/>
        <v/>
      </c>
      <c r="E15" s="146" t="str">
        <f t="shared" si="3"/>
        <v/>
      </c>
      <c r="F15" s="146" t="str">
        <f t="shared" si="4"/>
        <v/>
      </c>
      <c r="G15" s="148" t="str">
        <f t="shared" si="7"/>
        <v/>
      </c>
      <c r="H15" s="143" t="str">
        <f t="shared" si="5"/>
        <v/>
      </c>
      <c r="I15" s="146" t="str">
        <f t="shared" si="0"/>
        <v/>
      </c>
      <c r="J15" s="146" t="str">
        <f t="shared" si="1"/>
        <v/>
      </c>
      <c r="K15" s="147" t="str">
        <f t="shared" si="6"/>
        <v/>
      </c>
    </row>
    <row r="16" spans="2:11" ht="15.6">
      <c r="B16" s="376" t="s">
        <v>653</v>
      </c>
      <c r="C16" s="375"/>
      <c r="D16" s="143" t="str">
        <f t="shared" si="2"/>
        <v/>
      </c>
      <c r="E16" s="146" t="str">
        <f t="shared" si="3"/>
        <v/>
      </c>
      <c r="F16" s="146" t="str">
        <f t="shared" si="4"/>
        <v/>
      </c>
      <c r="G16" s="148" t="str">
        <f t="shared" si="7"/>
        <v/>
      </c>
      <c r="H16" s="143" t="str">
        <f t="shared" si="5"/>
        <v/>
      </c>
      <c r="I16" s="146" t="str">
        <f t="shared" si="0"/>
        <v/>
      </c>
      <c r="J16" s="146" t="str">
        <f t="shared" si="1"/>
        <v/>
      </c>
      <c r="K16" s="147" t="str">
        <f t="shared" si="6"/>
        <v/>
      </c>
    </row>
    <row r="17" spans="2:11">
      <c r="B17" s="377" t="s">
        <v>654</v>
      </c>
      <c r="C17" s="378">
        <v>1E-4</v>
      </c>
      <c r="D17" s="143" t="str">
        <f t="shared" si="2"/>
        <v/>
      </c>
      <c r="E17" s="146" t="str">
        <f t="shared" si="3"/>
        <v/>
      </c>
      <c r="F17" s="146" t="str">
        <f t="shared" si="4"/>
        <v/>
      </c>
      <c r="G17" s="148" t="str">
        <f t="shared" si="7"/>
        <v/>
      </c>
      <c r="H17" s="143" t="str">
        <f t="shared" si="5"/>
        <v/>
      </c>
      <c r="I17" s="146" t="str">
        <f t="shared" si="0"/>
        <v/>
      </c>
      <c r="J17" s="146" t="str">
        <f t="shared" si="1"/>
        <v/>
      </c>
      <c r="K17" s="147" t="str">
        <f t="shared" si="6"/>
        <v/>
      </c>
    </row>
    <row r="18" spans="2:11">
      <c r="B18" s="63"/>
      <c r="C18" s="18"/>
      <c r="D18" s="143" t="str">
        <f t="shared" si="2"/>
        <v/>
      </c>
      <c r="E18" s="146" t="str">
        <f t="shared" si="3"/>
        <v/>
      </c>
      <c r="F18" s="146" t="str">
        <f t="shared" si="4"/>
        <v/>
      </c>
      <c r="G18" s="148" t="str">
        <f t="shared" si="7"/>
        <v/>
      </c>
      <c r="H18" s="143" t="str">
        <f t="shared" si="5"/>
        <v/>
      </c>
      <c r="I18" s="146" t="str">
        <f t="shared" si="0"/>
        <v/>
      </c>
      <c r="J18" s="146" t="str">
        <f t="shared" si="1"/>
        <v/>
      </c>
      <c r="K18" s="147" t="str">
        <f t="shared" si="6"/>
        <v/>
      </c>
    </row>
    <row r="19" spans="2:11" ht="15.6">
      <c r="B19" s="380"/>
      <c r="C19" s="38"/>
      <c r="D19" s="143" t="str">
        <f t="shared" si="2"/>
        <v/>
      </c>
      <c r="E19" s="146" t="str">
        <f t="shared" si="3"/>
        <v/>
      </c>
      <c r="F19" s="146" t="str">
        <f t="shared" si="4"/>
        <v/>
      </c>
      <c r="G19" s="148" t="str">
        <f t="shared" si="7"/>
        <v/>
      </c>
      <c r="H19" s="143" t="str">
        <f t="shared" si="5"/>
        <v/>
      </c>
      <c r="I19" s="146" t="str">
        <f t="shared" si="0"/>
        <v/>
      </c>
      <c r="J19" s="146" t="str">
        <f t="shared" si="1"/>
        <v/>
      </c>
      <c r="K19" s="147" t="str">
        <f t="shared" si="6"/>
        <v/>
      </c>
    </row>
    <row r="20" spans="2:11" ht="15.6">
      <c r="B20" s="381"/>
      <c r="C20" s="38"/>
      <c r="D20" s="143" t="str">
        <f t="shared" si="2"/>
        <v/>
      </c>
      <c r="E20" s="146" t="str">
        <f t="shared" si="3"/>
        <v/>
      </c>
      <c r="F20" s="146" t="str">
        <f t="shared" si="4"/>
        <v/>
      </c>
      <c r="G20" s="148" t="str">
        <f t="shared" si="7"/>
        <v/>
      </c>
      <c r="H20" s="143" t="str">
        <f t="shared" si="5"/>
        <v/>
      </c>
      <c r="I20" s="146" t="str">
        <f t="shared" si="0"/>
        <v/>
      </c>
      <c r="J20" s="146" t="str">
        <f t="shared" si="1"/>
        <v/>
      </c>
      <c r="K20" s="147" t="str">
        <f t="shared" si="6"/>
        <v/>
      </c>
    </row>
    <row r="21" spans="2:11">
      <c r="B21" s="66"/>
      <c r="C21" s="38"/>
      <c r="D21" s="143" t="str">
        <f t="shared" ref="D21:D36" si="8">IF(D20=ABS($C$9),"",IF(D20="","",D20+1))</f>
        <v/>
      </c>
      <c r="E21" s="146" t="str">
        <f t="shared" si="3"/>
        <v/>
      </c>
      <c r="F21" s="146" t="str">
        <f t="shared" si="4"/>
        <v/>
      </c>
      <c r="G21" s="148" t="str">
        <f t="shared" si="7"/>
        <v/>
      </c>
      <c r="H21" s="143" t="str">
        <f t="shared" ref="H21:H36" si="9">IF(H20=ABS($C$9),"",IF(H20="","",H20+1))</f>
        <v/>
      </c>
      <c r="I21" s="146" t="str">
        <f t="shared" si="0"/>
        <v/>
      </c>
      <c r="J21" s="146" t="str">
        <f t="shared" si="1"/>
        <v/>
      </c>
      <c r="K21" s="147" t="str">
        <f t="shared" ref="K21:K36" si="10">IF(H21="","",K20+$G$4)</f>
        <v/>
      </c>
    </row>
    <row r="22" spans="2:11">
      <c r="B22" s="66"/>
      <c r="C22" s="38"/>
      <c r="D22" s="143" t="str">
        <f t="shared" si="8"/>
        <v/>
      </c>
      <c r="E22" s="146" t="str">
        <f t="shared" si="3"/>
        <v/>
      </c>
      <c r="F22" s="146" t="str">
        <f t="shared" si="4"/>
        <v/>
      </c>
      <c r="G22" s="148" t="str">
        <f t="shared" si="7"/>
        <v/>
      </c>
      <c r="H22" s="143" t="str">
        <f t="shared" si="9"/>
        <v/>
      </c>
      <c r="I22" s="146" t="str">
        <f t="shared" si="0"/>
        <v/>
      </c>
      <c r="J22" s="146" t="str">
        <f t="shared" si="1"/>
        <v/>
      </c>
      <c r="K22" s="147" t="str">
        <f t="shared" si="10"/>
        <v/>
      </c>
    </row>
    <row r="23" spans="2:11">
      <c r="B23" s="66"/>
      <c r="C23" s="38"/>
      <c r="D23" s="143" t="str">
        <f t="shared" si="8"/>
        <v/>
      </c>
      <c r="E23" s="146" t="str">
        <f t="shared" si="3"/>
        <v/>
      </c>
      <c r="F23" s="146" t="str">
        <f t="shared" si="4"/>
        <v/>
      </c>
      <c r="G23" s="148" t="str">
        <f t="shared" ref="G23:G38" si="11">IF(D23="","",G22+$G$4)</f>
        <v/>
      </c>
      <c r="H23" s="143" t="str">
        <f t="shared" si="9"/>
        <v/>
      </c>
      <c r="I23" s="146" t="str">
        <f t="shared" si="0"/>
        <v/>
      </c>
      <c r="J23" s="146" t="str">
        <f t="shared" si="1"/>
        <v/>
      </c>
      <c r="K23" s="147" t="str">
        <f t="shared" si="10"/>
        <v/>
      </c>
    </row>
    <row r="24" spans="2:11">
      <c r="B24" s="66"/>
      <c r="C24" s="38"/>
      <c r="D24" s="143" t="str">
        <f t="shared" si="8"/>
        <v/>
      </c>
      <c r="E24" s="146" t="str">
        <f t="shared" si="3"/>
        <v/>
      </c>
      <c r="F24" s="146" t="str">
        <f t="shared" si="4"/>
        <v/>
      </c>
      <c r="G24" s="148" t="str">
        <f t="shared" si="11"/>
        <v/>
      </c>
      <c r="H24" s="143" t="str">
        <f t="shared" si="9"/>
        <v/>
      </c>
      <c r="I24" s="146" t="str">
        <f t="shared" si="0"/>
        <v/>
      </c>
      <c r="J24" s="146" t="str">
        <f t="shared" si="1"/>
        <v/>
      </c>
      <c r="K24" s="147" t="str">
        <f t="shared" si="10"/>
        <v/>
      </c>
    </row>
    <row r="25" spans="2:11">
      <c r="B25" s="66"/>
      <c r="C25" s="38" t="s">
        <v>968</v>
      </c>
      <c r="D25" s="143" t="str">
        <f t="shared" si="8"/>
        <v/>
      </c>
      <c r="E25" s="146" t="str">
        <f t="shared" si="3"/>
        <v/>
      </c>
      <c r="F25" s="146" t="str">
        <f t="shared" si="4"/>
        <v/>
      </c>
      <c r="G25" s="148" t="str">
        <f t="shared" si="11"/>
        <v/>
      </c>
      <c r="H25" s="143" t="str">
        <f t="shared" si="9"/>
        <v/>
      </c>
      <c r="I25" s="146" t="str">
        <f t="shared" si="0"/>
        <v/>
      </c>
      <c r="J25" s="146" t="str">
        <f t="shared" si="1"/>
        <v/>
      </c>
      <c r="K25" s="147" t="str">
        <f t="shared" si="10"/>
        <v/>
      </c>
    </row>
    <row r="26" spans="2:11">
      <c r="B26" s="66"/>
      <c r="C26" s="38" t="s">
        <v>969</v>
      </c>
      <c r="D26" s="143" t="str">
        <f t="shared" si="8"/>
        <v/>
      </c>
      <c r="E26" s="146" t="str">
        <f t="shared" si="3"/>
        <v/>
      </c>
      <c r="F26" s="146" t="str">
        <f t="shared" si="4"/>
        <v/>
      </c>
      <c r="G26" s="148" t="str">
        <f t="shared" si="11"/>
        <v/>
      </c>
      <c r="H26" s="143" t="str">
        <f t="shared" si="9"/>
        <v/>
      </c>
      <c r="I26" s="146" t="str">
        <f t="shared" si="0"/>
        <v/>
      </c>
      <c r="J26" s="146" t="str">
        <f t="shared" si="1"/>
        <v/>
      </c>
      <c r="K26" s="147" t="str">
        <f t="shared" si="10"/>
        <v/>
      </c>
    </row>
    <row r="27" spans="2:11">
      <c r="B27" s="66"/>
      <c r="C27" s="117" t="s">
        <v>970</v>
      </c>
      <c r="D27" s="143" t="str">
        <f t="shared" si="8"/>
        <v/>
      </c>
      <c r="E27" s="146" t="str">
        <f t="shared" si="3"/>
        <v/>
      </c>
      <c r="F27" s="146" t="str">
        <f t="shared" si="4"/>
        <v/>
      </c>
      <c r="G27" s="148" t="str">
        <f t="shared" si="11"/>
        <v/>
      </c>
      <c r="H27" s="143" t="str">
        <f t="shared" si="9"/>
        <v/>
      </c>
      <c r="I27" s="146" t="str">
        <f t="shared" si="0"/>
        <v/>
      </c>
      <c r="J27" s="146" t="str">
        <f t="shared" si="1"/>
        <v/>
      </c>
      <c r="K27" s="147" t="str">
        <f t="shared" si="10"/>
        <v/>
      </c>
    </row>
    <row r="28" spans="2:11">
      <c r="B28" s="66"/>
      <c r="C28" s="38"/>
      <c r="D28" s="143" t="str">
        <f t="shared" si="8"/>
        <v/>
      </c>
      <c r="E28" s="146" t="str">
        <f t="shared" si="3"/>
        <v/>
      </c>
      <c r="F28" s="146" t="str">
        <f t="shared" si="4"/>
        <v/>
      </c>
      <c r="G28" s="148" t="str">
        <f t="shared" si="11"/>
        <v/>
      </c>
      <c r="H28" s="143" t="str">
        <f t="shared" si="9"/>
        <v/>
      </c>
      <c r="I28" s="146" t="str">
        <f t="shared" si="0"/>
        <v/>
      </c>
      <c r="J28" s="146" t="str">
        <f t="shared" si="1"/>
        <v/>
      </c>
      <c r="K28" s="147" t="str">
        <f t="shared" si="10"/>
        <v/>
      </c>
    </row>
    <row r="29" spans="2:11">
      <c r="B29" s="157" t="s">
        <v>971</v>
      </c>
      <c r="C29" s="11"/>
      <c r="D29" s="143" t="str">
        <f t="shared" si="8"/>
        <v/>
      </c>
      <c r="E29" s="146" t="str">
        <f t="shared" si="3"/>
        <v/>
      </c>
      <c r="F29" s="146" t="str">
        <f t="shared" si="4"/>
        <v/>
      </c>
      <c r="G29" s="148" t="str">
        <f t="shared" si="11"/>
        <v/>
      </c>
      <c r="H29" s="143" t="str">
        <f t="shared" si="9"/>
        <v/>
      </c>
      <c r="I29" s="146" t="str">
        <f t="shared" si="0"/>
        <v/>
      </c>
      <c r="J29" s="146" t="str">
        <f t="shared" si="1"/>
        <v/>
      </c>
      <c r="K29" s="147" t="str">
        <f t="shared" si="10"/>
        <v/>
      </c>
    </row>
    <row r="30" spans="2:11">
      <c r="B30" s="66" t="str">
        <f>IF(G4="","",TRUNC(G4))</f>
        <v/>
      </c>
      <c r="C30" s="15" t="s">
        <v>90</v>
      </c>
      <c r="D30" s="143" t="str">
        <f t="shared" si="8"/>
        <v/>
      </c>
      <c r="E30" s="146" t="str">
        <f t="shared" si="3"/>
        <v/>
      </c>
      <c r="F30" s="146" t="str">
        <f t="shared" si="4"/>
        <v/>
      </c>
      <c r="G30" s="148" t="str">
        <f t="shared" si="11"/>
        <v/>
      </c>
      <c r="H30" s="143" t="str">
        <f t="shared" si="9"/>
        <v/>
      </c>
      <c r="I30" s="146" t="str">
        <f t="shared" si="0"/>
        <v/>
      </c>
      <c r="J30" s="146" t="str">
        <f t="shared" si="1"/>
        <v/>
      </c>
      <c r="K30" s="147" t="str">
        <f t="shared" si="10"/>
        <v/>
      </c>
    </row>
    <row r="31" spans="2:11">
      <c r="B31" s="66" t="str">
        <f>IF(G4="","",TRUNC((G4-B30)*60))</f>
        <v/>
      </c>
      <c r="C31" s="15" t="s">
        <v>111</v>
      </c>
      <c r="D31" s="143" t="str">
        <f t="shared" si="8"/>
        <v/>
      </c>
      <c r="E31" s="146" t="str">
        <f t="shared" si="3"/>
        <v/>
      </c>
      <c r="F31" s="146" t="str">
        <f t="shared" si="4"/>
        <v/>
      </c>
      <c r="G31" s="148" t="str">
        <f t="shared" si="11"/>
        <v/>
      </c>
      <c r="H31" s="143" t="str">
        <f t="shared" si="9"/>
        <v/>
      </c>
      <c r="I31" s="146" t="str">
        <f t="shared" si="0"/>
        <v/>
      </c>
      <c r="J31" s="146" t="str">
        <f t="shared" si="1"/>
        <v/>
      </c>
      <c r="K31" s="147" t="str">
        <f t="shared" si="10"/>
        <v/>
      </c>
    </row>
    <row r="32" spans="2:11">
      <c r="B32" s="66" t="str">
        <f>IF(G4="","",((G4-B30)*60-B31)*60)</f>
        <v/>
      </c>
      <c r="C32" s="15" t="s">
        <v>112</v>
      </c>
      <c r="D32" s="143" t="str">
        <f t="shared" si="8"/>
        <v/>
      </c>
      <c r="E32" s="146" t="str">
        <f t="shared" si="3"/>
        <v/>
      </c>
      <c r="F32" s="146" t="str">
        <f t="shared" si="4"/>
        <v/>
      </c>
      <c r="G32" s="148" t="str">
        <f t="shared" si="11"/>
        <v/>
      </c>
      <c r="H32" s="143" t="str">
        <f t="shared" si="9"/>
        <v/>
      </c>
      <c r="I32" s="146" t="str">
        <f t="shared" si="0"/>
        <v/>
      </c>
      <c r="J32" s="146" t="str">
        <f t="shared" si="1"/>
        <v/>
      </c>
      <c r="K32" s="147" t="str">
        <f t="shared" si="10"/>
        <v/>
      </c>
    </row>
    <row r="33" spans="2:11">
      <c r="B33" s="66"/>
      <c r="C33" s="38"/>
      <c r="D33" s="143" t="str">
        <f t="shared" si="8"/>
        <v/>
      </c>
      <c r="E33" s="146" t="str">
        <f t="shared" si="3"/>
        <v/>
      </c>
      <c r="F33" s="146" t="str">
        <f t="shared" si="4"/>
        <v/>
      </c>
      <c r="G33" s="148" t="str">
        <f t="shared" si="11"/>
        <v/>
      </c>
      <c r="H33" s="143" t="str">
        <f t="shared" si="9"/>
        <v/>
      </c>
      <c r="I33" s="146" t="str">
        <f t="shared" si="0"/>
        <v/>
      </c>
      <c r="J33" s="146" t="str">
        <f t="shared" si="1"/>
        <v/>
      </c>
      <c r="K33" s="147" t="str">
        <f t="shared" si="10"/>
        <v/>
      </c>
    </row>
    <row r="34" spans="2:11">
      <c r="B34" s="66"/>
      <c r="C34" s="38"/>
      <c r="D34" s="143" t="str">
        <f t="shared" si="8"/>
        <v/>
      </c>
      <c r="E34" s="146" t="str">
        <f t="shared" si="3"/>
        <v/>
      </c>
      <c r="F34" s="146" t="str">
        <f t="shared" si="4"/>
        <v/>
      </c>
      <c r="G34" s="148" t="str">
        <f t="shared" si="11"/>
        <v/>
      </c>
      <c r="H34" s="143" t="str">
        <f t="shared" si="9"/>
        <v/>
      </c>
      <c r="I34" s="146" t="str">
        <f t="shared" si="0"/>
        <v/>
      </c>
      <c r="J34" s="146" t="str">
        <f t="shared" si="1"/>
        <v/>
      </c>
      <c r="K34" s="147" t="str">
        <f t="shared" si="10"/>
        <v/>
      </c>
    </row>
    <row r="35" spans="2:11">
      <c r="B35" s="66"/>
      <c r="C35" s="38"/>
      <c r="D35" s="143" t="str">
        <f t="shared" si="8"/>
        <v/>
      </c>
      <c r="E35" s="146" t="str">
        <f t="shared" si="3"/>
        <v/>
      </c>
      <c r="F35" s="146" t="str">
        <f t="shared" si="4"/>
        <v/>
      </c>
      <c r="G35" s="148" t="str">
        <f t="shared" si="11"/>
        <v/>
      </c>
      <c r="H35" s="143" t="str">
        <f t="shared" si="9"/>
        <v/>
      </c>
      <c r="I35" s="146" t="str">
        <f t="shared" si="0"/>
        <v/>
      </c>
      <c r="J35" s="146" t="str">
        <f t="shared" si="1"/>
        <v/>
      </c>
      <c r="K35" s="147" t="str">
        <f t="shared" si="10"/>
        <v/>
      </c>
    </row>
    <row r="36" spans="2:11">
      <c r="B36" s="66"/>
      <c r="C36" s="38"/>
      <c r="D36" s="143" t="str">
        <f t="shared" si="8"/>
        <v/>
      </c>
      <c r="E36" s="146" t="str">
        <f t="shared" si="3"/>
        <v/>
      </c>
      <c r="F36" s="146" t="str">
        <f t="shared" si="4"/>
        <v/>
      </c>
      <c r="G36" s="148" t="str">
        <f t="shared" si="11"/>
        <v/>
      </c>
      <c r="H36" s="143" t="str">
        <f t="shared" si="9"/>
        <v/>
      </c>
      <c r="I36" s="146" t="str">
        <f t="shared" si="0"/>
        <v/>
      </c>
      <c r="J36" s="146" t="str">
        <f t="shared" si="1"/>
        <v/>
      </c>
      <c r="K36" s="147" t="str">
        <f t="shared" si="10"/>
        <v/>
      </c>
    </row>
    <row r="37" spans="2:11">
      <c r="B37" s="66"/>
      <c r="C37" s="38"/>
      <c r="D37" s="143" t="str">
        <f t="shared" ref="D37:D52" si="12">IF(D36=ABS($C$9),"",IF(D36="","",D36+1))</f>
        <v/>
      </c>
      <c r="E37" s="146" t="str">
        <f t="shared" si="3"/>
        <v/>
      </c>
      <c r="F37" s="146" t="str">
        <f t="shared" si="4"/>
        <v/>
      </c>
      <c r="G37" s="148" t="str">
        <f t="shared" si="11"/>
        <v/>
      </c>
      <c r="H37" s="143" t="str">
        <f t="shared" ref="H37:H52" si="13">IF(H36=ABS($C$9),"",IF(H36="","",H36+1))</f>
        <v/>
      </c>
      <c r="I37" s="146" t="str">
        <f t="shared" si="0"/>
        <v/>
      </c>
      <c r="J37" s="146" t="str">
        <f t="shared" si="1"/>
        <v/>
      </c>
      <c r="K37" s="147" t="str">
        <f t="shared" ref="K37:K52" si="14">IF(H37="","",K36+$G$4)</f>
        <v/>
      </c>
    </row>
    <row r="38" spans="2:11">
      <c r="B38" s="66"/>
      <c r="C38" s="38"/>
      <c r="D38" s="143" t="str">
        <f t="shared" si="12"/>
        <v/>
      </c>
      <c r="E38" s="146" t="str">
        <f t="shared" si="3"/>
        <v/>
      </c>
      <c r="F38" s="146" t="str">
        <f t="shared" si="4"/>
        <v/>
      </c>
      <c r="G38" s="148" t="str">
        <f t="shared" si="11"/>
        <v/>
      </c>
      <c r="H38" s="143" t="str">
        <f t="shared" si="13"/>
        <v/>
      </c>
      <c r="I38" s="146" t="str">
        <f t="shared" si="0"/>
        <v/>
      </c>
      <c r="J38" s="146" t="str">
        <f t="shared" si="1"/>
        <v/>
      </c>
      <c r="K38" s="147" t="str">
        <f t="shared" si="14"/>
        <v/>
      </c>
    </row>
    <row r="39" spans="2:11" ht="15.6">
      <c r="B39" s="376" t="s">
        <v>671</v>
      </c>
      <c r="C39" s="384"/>
      <c r="D39" s="143" t="str">
        <f t="shared" si="12"/>
        <v/>
      </c>
      <c r="E39" s="146" t="str">
        <f t="shared" si="3"/>
        <v/>
      </c>
      <c r="F39" s="146" t="str">
        <f t="shared" si="4"/>
        <v/>
      </c>
      <c r="G39" s="148" t="str">
        <f t="shared" ref="G39:G52" si="15">IF(D39="","",G38+$G$4)</f>
        <v/>
      </c>
      <c r="H39" s="143" t="str">
        <f t="shared" si="13"/>
        <v/>
      </c>
      <c r="I39" s="146" t="str">
        <f t="shared" si="0"/>
        <v/>
      </c>
      <c r="J39" s="146" t="str">
        <f t="shared" si="1"/>
        <v/>
      </c>
      <c r="K39" s="147" t="str">
        <f t="shared" si="14"/>
        <v/>
      </c>
    </row>
    <row r="40" spans="2:11">
      <c r="B40" s="61" t="str">
        <f>IF(C9="","",IF(C9&gt;0,"Clockwise    &gt;","&lt;    Counter Clockwise"))</f>
        <v/>
      </c>
      <c r="C40" s="11"/>
      <c r="D40" s="143" t="str">
        <f t="shared" si="12"/>
        <v/>
      </c>
      <c r="E40" s="146" t="str">
        <f t="shared" si="3"/>
        <v/>
      </c>
      <c r="F40" s="146" t="str">
        <f t="shared" si="4"/>
        <v/>
      </c>
      <c r="G40" s="148" t="str">
        <f t="shared" si="15"/>
        <v/>
      </c>
      <c r="H40" s="143" t="str">
        <f t="shared" si="13"/>
        <v/>
      </c>
      <c r="I40" s="146" t="str">
        <f t="shared" si="0"/>
        <v/>
      </c>
      <c r="J40" s="146" t="str">
        <f t="shared" si="1"/>
        <v/>
      </c>
      <c r="K40" s="147" t="str">
        <f t="shared" si="14"/>
        <v/>
      </c>
    </row>
    <row r="41" spans="2:11">
      <c r="B41" s="66"/>
      <c r="C41" s="38"/>
      <c r="D41" s="143" t="str">
        <f t="shared" si="12"/>
        <v/>
      </c>
      <c r="E41" s="146" t="str">
        <f t="shared" si="3"/>
        <v/>
      </c>
      <c r="F41" s="146" t="str">
        <f t="shared" si="4"/>
        <v/>
      </c>
      <c r="G41" s="148" t="str">
        <f t="shared" si="15"/>
        <v/>
      </c>
      <c r="H41" s="143" t="str">
        <f t="shared" si="13"/>
        <v/>
      </c>
      <c r="I41" s="146" t="str">
        <f t="shared" si="0"/>
        <v/>
      </c>
      <c r="J41" s="146" t="str">
        <f t="shared" si="1"/>
        <v/>
      </c>
      <c r="K41" s="147" t="str">
        <f t="shared" si="14"/>
        <v/>
      </c>
    </row>
    <row r="42" spans="2:11">
      <c r="B42" s="66"/>
      <c r="C42" s="38"/>
      <c r="D42" s="143" t="str">
        <f t="shared" si="12"/>
        <v/>
      </c>
      <c r="E42" s="146" t="str">
        <f t="shared" si="3"/>
        <v/>
      </c>
      <c r="F42" s="146" t="str">
        <f t="shared" si="4"/>
        <v/>
      </c>
      <c r="G42" s="148" t="str">
        <f t="shared" si="15"/>
        <v/>
      </c>
      <c r="H42" s="143" t="str">
        <f t="shared" si="13"/>
        <v/>
      </c>
      <c r="I42" s="146" t="str">
        <f t="shared" si="0"/>
        <v/>
      </c>
      <c r="J42" s="146" t="str">
        <f t="shared" si="1"/>
        <v/>
      </c>
      <c r="K42" s="147" t="str">
        <f t="shared" si="14"/>
        <v/>
      </c>
    </row>
    <row r="43" spans="2:11">
      <c r="B43" s="66"/>
      <c r="C43" s="38"/>
      <c r="D43" s="143" t="str">
        <f t="shared" si="12"/>
        <v/>
      </c>
      <c r="E43" s="146" t="str">
        <f t="shared" si="3"/>
        <v/>
      </c>
      <c r="F43" s="146" t="str">
        <f t="shared" si="4"/>
        <v/>
      </c>
      <c r="G43" s="148" t="str">
        <f t="shared" si="15"/>
        <v/>
      </c>
      <c r="H43" s="143" t="str">
        <f t="shared" si="13"/>
        <v/>
      </c>
      <c r="I43" s="146" t="str">
        <f t="shared" si="0"/>
        <v/>
      </c>
      <c r="J43" s="146" t="str">
        <f t="shared" si="1"/>
        <v/>
      </c>
      <c r="K43" s="147" t="str">
        <f t="shared" si="14"/>
        <v/>
      </c>
    </row>
    <row r="44" spans="2:11">
      <c r="B44" s="66"/>
      <c r="C44" s="38"/>
      <c r="D44" s="143" t="str">
        <f t="shared" si="12"/>
        <v/>
      </c>
      <c r="E44" s="146" t="str">
        <f t="shared" si="3"/>
        <v/>
      </c>
      <c r="F44" s="146" t="str">
        <f t="shared" si="4"/>
        <v/>
      </c>
      <c r="G44" s="148" t="str">
        <f t="shared" si="15"/>
        <v/>
      </c>
      <c r="H44" s="143" t="str">
        <f t="shared" si="13"/>
        <v/>
      </c>
      <c r="I44" s="146" t="str">
        <f t="shared" si="0"/>
        <v/>
      </c>
      <c r="J44" s="146" t="str">
        <f t="shared" si="1"/>
        <v/>
      </c>
      <c r="K44" s="147" t="str">
        <f t="shared" si="14"/>
        <v/>
      </c>
    </row>
    <row r="45" spans="2:11">
      <c r="B45" s="66" t="s">
        <v>987</v>
      </c>
      <c r="C45" s="15" t="s">
        <v>668</v>
      </c>
      <c r="D45" s="143" t="str">
        <f t="shared" si="12"/>
        <v/>
      </c>
      <c r="E45" s="146" t="str">
        <f t="shared" si="3"/>
        <v/>
      </c>
      <c r="F45" s="146" t="str">
        <f t="shared" si="4"/>
        <v/>
      </c>
      <c r="G45" s="148" t="str">
        <f t="shared" si="15"/>
        <v/>
      </c>
      <c r="H45" s="143" t="str">
        <f t="shared" si="13"/>
        <v/>
      </c>
      <c r="I45" s="146" t="str">
        <f t="shared" si="0"/>
        <v/>
      </c>
      <c r="J45" s="146" t="str">
        <f t="shared" si="1"/>
        <v/>
      </c>
      <c r="K45" s="147" t="str">
        <f t="shared" si="14"/>
        <v/>
      </c>
    </row>
    <row r="46" spans="2:11">
      <c r="B46" s="66" t="s">
        <v>991</v>
      </c>
      <c r="C46" s="15" t="s">
        <v>669</v>
      </c>
      <c r="D46" s="143" t="str">
        <f t="shared" si="12"/>
        <v/>
      </c>
      <c r="E46" s="146" t="str">
        <f t="shared" si="3"/>
        <v/>
      </c>
      <c r="F46" s="146" t="str">
        <f t="shared" si="4"/>
        <v/>
      </c>
      <c r="G46" s="148" t="str">
        <f t="shared" si="15"/>
        <v/>
      </c>
      <c r="H46" s="143" t="str">
        <f t="shared" si="13"/>
        <v/>
      </c>
      <c r="I46" s="146" t="str">
        <f t="shared" si="0"/>
        <v/>
      </c>
      <c r="J46" s="146" t="str">
        <f t="shared" si="1"/>
        <v/>
      </c>
      <c r="K46" s="147" t="str">
        <f t="shared" si="14"/>
        <v/>
      </c>
    </row>
    <row r="47" spans="2:11">
      <c r="B47" s="66" t="s">
        <v>987</v>
      </c>
      <c r="C47" s="15" t="s">
        <v>668</v>
      </c>
      <c r="D47" s="143" t="str">
        <f t="shared" si="12"/>
        <v/>
      </c>
      <c r="E47" s="146" t="str">
        <f t="shared" si="3"/>
        <v/>
      </c>
      <c r="F47" s="146" t="str">
        <f t="shared" si="4"/>
        <v/>
      </c>
      <c r="G47" s="148" t="str">
        <f t="shared" si="15"/>
        <v/>
      </c>
      <c r="H47" s="143" t="str">
        <f t="shared" si="13"/>
        <v/>
      </c>
      <c r="I47" s="146" t="str">
        <f t="shared" si="0"/>
        <v/>
      </c>
      <c r="J47" s="146" t="str">
        <f t="shared" si="1"/>
        <v/>
      </c>
      <c r="K47" s="147" t="str">
        <f t="shared" si="14"/>
        <v/>
      </c>
    </row>
    <row r="48" spans="2:11">
      <c r="B48" s="66" t="s">
        <v>1001</v>
      </c>
      <c r="C48" s="15" t="s">
        <v>670</v>
      </c>
      <c r="D48" s="143" t="str">
        <f t="shared" si="12"/>
        <v/>
      </c>
      <c r="E48" s="146" t="str">
        <f t="shared" si="3"/>
        <v/>
      </c>
      <c r="F48" s="146" t="str">
        <f t="shared" si="4"/>
        <v/>
      </c>
      <c r="G48" s="148" t="str">
        <f t="shared" si="15"/>
        <v/>
      </c>
      <c r="H48" s="143" t="str">
        <f t="shared" si="13"/>
        <v/>
      </c>
      <c r="I48" s="146" t="str">
        <f t="shared" si="0"/>
        <v/>
      </c>
      <c r="J48" s="146" t="str">
        <f t="shared" si="1"/>
        <v/>
      </c>
      <c r="K48" s="147" t="str">
        <f t="shared" si="14"/>
        <v/>
      </c>
    </row>
    <row r="49" spans="2:11">
      <c r="B49" s="66"/>
      <c r="C49" s="38"/>
      <c r="D49" s="143" t="str">
        <f t="shared" si="12"/>
        <v/>
      </c>
      <c r="E49" s="146" t="str">
        <f t="shared" si="3"/>
        <v/>
      </c>
      <c r="F49" s="146" t="str">
        <f t="shared" si="4"/>
        <v/>
      </c>
      <c r="G49" s="148" t="str">
        <f t="shared" si="15"/>
        <v/>
      </c>
      <c r="H49" s="143" t="str">
        <f t="shared" si="13"/>
        <v/>
      </c>
      <c r="I49" s="146" t="str">
        <f t="shared" si="0"/>
        <v/>
      </c>
      <c r="J49" s="146" t="str">
        <f t="shared" si="1"/>
        <v/>
      </c>
      <c r="K49" s="147" t="str">
        <f t="shared" si="14"/>
        <v/>
      </c>
    </row>
    <row r="50" spans="2:11">
      <c r="B50" s="66"/>
      <c r="C50" s="38"/>
      <c r="D50" s="143" t="str">
        <f t="shared" si="12"/>
        <v/>
      </c>
      <c r="E50" s="146" t="str">
        <f t="shared" si="3"/>
        <v/>
      </c>
      <c r="F50" s="146" t="str">
        <f t="shared" si="4"/>
        <v/>
      </c>
      <c r="G50" s="148" t="str">
        <f t="shared" si="15"/>
        <v/>
      </c>
      <c r="H50" s="143" t="str">
        <f t="shared" si="13"/>
        <v/>
      </c>
      <c r="I50" s="146" t="str">
        <f t="shared" si="0"/>
        <v/>
      </c>
      <c r="J50" s="146" t="str">
        <f t="shared" si="1"/>
        <v/>
      </c>
      <c r="K50" s="147" t="str">
        <f t="shared" si="14"/>
        <v/>
      </c>
    </row>
    <row r="51" spans="2:11">
      <c r="B51" s="66"/>
      <c r="C51" s="38"/>
      <c r="D51" s="143" t="str">
        <f t="shared" si="12"/>
        <v/>
      </c>
      <c r="E51" s="146" t="str">
        <f t="shared" si="3"/>
        <v/>
      </c>
      <c r="F51" s="146" t="str">
        <f t="shared" si="4"/>
        <v/>
      </c>
      <c r="G51" s="148" t="str">
        <f t="shared" si="15"/>
        <v/>
      </c>
      <c r="H51" s="143" t="str">
        <f t="shared" si="13"/>
        <v/>
      </c>
      <c r="I51" s="146" t="str">
        <f t="shared" si="0"/>
        <v/>
      </c>
      <c r="J51" s="146" t="str">
        <f t="shared" si="1"/>
        <v/>
      </c>
      <c r="K51" s="147" t="str">
        <f t="shared" si="14"/>
        <v/>
      </c>
    </row>
    <row r="52" spans="2:11" ht="15.6" thickBot="1">
      <c r="B52" s="67"/>
      <c r="C52" s="94"/>
      <c r="D52" s="149" t="str">
        <f t="shared" si="12"/>
        <v/>
      </c>
      <c r="E52" s="150" t="str">
        <f t="shared" si="3"/>
        <v/>
      </c>
      <c r="F52" s="150" t="str">
        <f t="shared" si="4"/>
        <v/>
      </c>
      <c r="G52" s="151" t="str">
        <f t="shared" si="15"/>
        <v/>
      </c>
      <c r="H52" s="149" t="str">
        <f t="shared" si="13"/>
        <v/>
      </c>
      <c r="I52" s="150" t="str">
        <f t="shared" si="0"/>
        <v/>
      </c>
      <c r="J52" s="150" t="str">
        <f t="shared" si="1"/>
        <v/>
      </c>
      <c r="K52" s="152" t="str">
        <f t="shared" si="14"/>
        <v/>
      </c>
    </row>
  </sheetData>
  <sheetProtection sheet="1" objects="1" scenarios="1"/>
  <phoneticPr fontId="0" type="noConversion"/>
  <printOptions horizontalCentered="1" verticalCentered="1" gridLinesSet="0"/>
  <pageMargins left="0.5" right="0.5" top="0.5" bottom="0.5" header="0.5" footer="0.5"/>
  <pageSetup scale="88" pageOrder="overThenDown" orientation="portrait" blackAndWhite="1" horizontalDpi="180" verticalDpi="180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codeName="Sheet13">
    <tabColor indexed="13"/>
    <pageSetUpPr fitToPage="1"/>
  </sheetPr>
  <dimension ref="B1:S53"/>
  <sheetViews>
    <sheetView showGridLines="0" showRowColHeaders="0" zoomScale="75" zoomScaleNormal="75" workbookViewId="0">
      <selection activeCell="C5" sqref="C5"/>
    </sheetView>
  </sheetViews>
  <sheetFormatPr defaultColWidth="9.81640625" defaultRowHeight="15"/>
  <cols>
    <col min="1" max="1" width="1.81640625" customWidth="1"/>
    <col min="2" max="2" width="11.81640625" customWidth="1"/>
    <col min="3" max="3" width="8.81640625" customWidth="1"/>
    <col min="4" max="4" width="5.81640625" customWidth="1"/>
    <col min="5" max="6" width="8.81640625" customWidth="1"/>
    <col min="7" max="7" width="10.81640625" customWidth="1"/>
    <col min="8" max="8" width="5.81640625" customWidth="1"/>
    <col min="9" max="10" width="8.81640625" customWidth="1"/>
    <col min="11" max="11" width="10.81640625" customWidth="1"/>
    <col min="12" max="12" width="5.81640625" customWidth="1"/>
    <col min="13" max="14" width="8.81640625" customWidth="1"/>
    <col min="15" max="15" width="10.81640625" customWidth="1"/>
    <col min="16" max="16" width="5.81640625" customWidth="1"/>
    <col min="17" max="18" width="8.81640625" customWidth="1"/>
    <col min="19" max="19" width="10.81640625" customWidth="1"/>
  </cols>
  <sheetData>
    <row r="1" spans="2:19" ht="24.6">
      <c r="B1" s="90" t="s">
        <v>660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2"/>
    </row>
    <row r="2" spans="2:19" ht="23.1" customHeight="1">
      <c r="B2" s="91"/>
      <c r="C2" s="51"/>
      <c r="D2" s="118" t="s">
        <v>956</v>
      </c>
      <c r="E2" s="119" t="s">
        <v>957</v>
      </c>
      <c r="F2" s="119" t="s">
        <v>958</v>
      </c>
      <c r="G2" s="120" t="s">
        <v>90</v>
      </c>
      <c r="H2" s="118" t="s">
        <v>956</v>
      </c>
      <c r="I2" s="119" t="s">
        <v>957</v>
      </c>
      <c r="J2" s="119" t="s">
        <v>958</v>
      </c>
      <c r="K2" s="120" t="s">
        <v>90</v>
      </c>
      <c r="L2" s="118" t="s">
        <v>956</v>
      </c>
      <c r="M2" s="119" t="s">
        <v>957</v>
      </c>
      <c r="N2" s="119" t="s">
        <v>958</v>
      </c>
      <c r="O2" s="120" t="s">
        <v>90</v>
      </c>
      <c r="P2" s="118" t="s">
        <v>956</v>
      </c>
      <c r="Q2" s="119" t="s">
        <v>957</v>
      </c>
      <c r="R2" s="119" t="s">
        <v>958</v>
      </c>
      <c r="S2" s="121" t="s">
        <v>90</v>
      </c>
    </row>
    <row r="3" spans="2:19" ht="15" customHeight="1">
      <c r="B3" s="97" t="s">
        <v>664</v>
      </c>
      <c r="C3" s="115"/>
      <c r="D3" s="143" t="str">
        <f>IF(C9="","",1)</f>
        <v/>
      </c>
      <c r="E3" s="144" t="str">
        <f>IF(D3="","",ROUND((C5)/$C$20,0)*$C$20)</f>
        <v/>
      </c>
      <c r="F3" s="144" t="str">
        <f>IF(D3="","",ROUND((C6)/$C$20,0)*$C$20)</f>
        <v/>
      </c>
      <c r="G3" s="145" t="str">
        <f>IF(D3="","",0)</f>
        <v/>
      </c>
      <c r="H3" s="143" t="str">
        <f>IF(D53="","",IF(D53&gt;=ABS((360*$C$17)/$C$9)+1,"",D53+1))</f>
        <v/>
      </c>
      <c r="I3" s="146" t="str">
        <f>IF(H3="","",(ROUND((((COS(K3/180*PI())*$C$5)+(SIN(K3/180*PI())*$C$6)))*(1+(((SUM($C$13,($C$12*$C$24)))/(360/ABS(K3)))/(SQRT(($C$6*$C$6)+($C$5*$C$5)))))/$C$20,0)*$C$20))</f>
        <v/>
      </c>
      <c r="J3" s="146" t="str">
        <f>IF(H3="","",(ROUND((((COS(K3/180*PI())*$C$6)-(SIN(K3/180*PI())*$C$5)))*(1+(((SUM($C$13,($C$12*$C$24)))/(360/ABS(K3)))/(SQRT(($C$6*$C$6)+($C$5*$C$5)))))/$C$20,0)*$C$20))</f>
        <v/>
      </c>
      <c r="K3" s="147" t="str">
        <f>IF(H3="","",G53+$G$4)</f>
        <v/>
      </c>
      <c r="L3" s="143" t="str">
        <f>IF(H53="","",IF(H53&gt;=ABS((360*$C$17)/$C$9)+1,"",H53+1))</f>
        <v/>
      </c>
      <c r="M3" s="146" t="str">
        <f>IF(L3="","",(ROUND((((COS(O3/180*PI())*$C$5)+(SIN(O3/180*PI())*$C$6)))*(1+(((SUM($C$13,($C$12*$C$24)))/(360/ABS(O3)))/(SQRT(($C$6*$C$6)+($C$5*$C$5)))))/$C$20,0)*$C$20))</f>
        <v/>
      </c>
      <c r="N3" s="146" t="str">
        <f>IF(L3="","",(ROUND((((COS(O3/180*PI())*$C$6)-(SIN(O3/180*PI())*$C$5)))*(1+(((SUM($C$13,($C$12*$C$24)))/(360/ABS(O3)))/(SQRT(($C$6*$C$6)+($C$5*$C$5)))))/$C$20,0)*$C$20))</f>
        <v/>
      </c>
      <c r="O3" s="147" t="str">
        <f>IF(L3="","",K53+$G$4)</f>
        <v/>
      </c>
      <c r="P3" s="143" t="str">
        <f>IF(L53="","",IF(L53&gt;=ABS((360*$C$17)/$C$9)+1,"",L53+1))</f>
        <v/>
      </c>
      <c r="Q3" s="146" t="str">
        <f>IF(P3="","",(ROUND((((COS(S3/180*PI())*$C$5)+(SIN(S3/180*PI())*$C$6)))*(1+(((SUM($C$13,($C$12*$C$24)))/(360/ABS(S3)))/(SQRT(($C$6*$C$6)+($C$5*$C$5)))))/$C$20,0)*$C$20))</f>
        <v/>
      </c>
      <c r="R3" s="146" t="str">
        <f>IF(P3="","",(ROUND((((COS(S3/180*PI())*$C$6)-(SIN(S3/180*PI())*$C$5)))*(1+(((SUM($C$13,($C$12*$C$24)))/(360/ABS(S3)))/(SQRT(($C$6*$C$6)+($C$5*$C$5)))))/$C$20,0)*$C$20))</f>
        <v/>
      </c>
      <c r="S3" s="147" t="str">
        <f>IF(P3="","",O53+$G$4)</f>
        <v/>
      </c>
    </row>
    <row r="4" spans="2:19" ht="15.6">
      <c r="B4" s="114" t="s">
        <v>665</v>
      </c>
      <c r="C4" s="115"/>
      <c r="D4" s="143" t="str">
        <f>IF(D3="","",IF(D3&gt;=ABS((360*$C$17)/$C$9)+1,"",D3+1))</f>
        <v/>
      </c>
      <c r="E4" s="146" t="str">
        <f>IF(D4="","",(ROUND((((COS(G4/180*PI())*($C$5))+(SIN(G4/180*PI())*$C$6)))*(1+(((SUM($C$13,($C$12*$C$24)))/(360/ABS(G4)))/(SQRT(($C$6*$C$6)+($C$5*$C$5)))))/$C$20,0)*$C$20))</f>
        <v/>
      </c>
      <c r="F4" s="146" t="str">
        <f>IF(D4="","",(ROUND((((COS(G4/180*PI())*($C$6))-(SIN(G4/180*PI())*$C$5)))*(1+(((SUM($C$13,($C$12*$C$24)))/(360/ABS(G4)))/(SQRT(($C$6*$C$6)+($C$5*$C$5)))))/$C$20,0)*$C$20))</f>
        <v/>
      </c>
      <c r="G4" s="148" t="str">
        <f>IF(D4="","",C9)</f>
        <v/>
      </c>
      <c r="H4" s="143" t="str">
        <f>IF(H3="","",IF(H3&gt;=ABS((360*$C$17)/$C$9)+1,"",H3+1))</f>
        <v/>
      </c>
      <c r="I4" s="146" t="str">
        <f>IF(H4="","",(ROUND((((COS(K4/180*PI())*$C$5)+(SIN(K4/180*PI())*$C$6)))*(1+(((SUM($C$13,($C$12*$C$24)))/(360/ABS(K4)))/(SQRT(($C$6*$C$6)+($C$5*$C$5)))))/$C$20,0)*$C$20))</f>
        <v/>
      </c>
      <c r="J4" s="146" t="str">
        <f>IF(H4="","",(ROUND((((COS(K4/180*PI())*$C$6)-(SIN(K4/180*PI())*$C$5)))*(1+(((SUM($C$13,($C$12*$C$24)))/(360/ABS(K4)))/(SQRT(($C$6*$C$6)+($C$5*$C$5)))))/$C$20,0)*$C$20))</f>
        <v/>
      </c>
      <c r="K4" s="147" t="str">
        <f t="shared" ref="K4:K35" si="0">IF(H4="","",K3+$G$4)</f>
        <v/>
      </c>
      <c r="L4" s="143" t="str">
        <f>IF(L3="","",IF(L3&gt;=ABS((360*$C$17)/$C$9)+1,"",L3+1))</f>
        <v/>
      </c>
      <c r="M4" s="146" t="str">
        <f>IF(L4="","",(ROUND((((COS(O4/180*PI())*$C$5)+(SIN(O4/180*PI())*$C$6)))*(1+(((SUM($C$13,($C$12*$C$24)))/(360/ABS(O4)))/(SQRT(($C$6*$C$6)+($C$5*$C$5)))))/$C$20,0)*$C$20))</f>
        <v/>
      </c>
      <c r="N4" s="146" t="str">
        <f>IF(L4="","",(ROUND((((COS(O4/180*PI())*$C$6)-(SIN(O4/180*PI())*$C$5)))*(1+(((SUM($C$13,($C$12*$C$24)))/(360/ABS(O4)))/(SQRT(($C$6*$C$6)+($C$5*$C$5)))))/$C$20,0)*$C$20))</f>
        <v/>
      </c>
      <c r="O4" s="147" t="str">
        <f t="shared" ref="O4:O52" si="1">IF(L4="","",O3+$G$4)</f>
        <v/>
      </c>
      <c r="P4" s="143" t="str">
        <f>IF(P3="","",IF(P3&gt;=ABS((360*$C$17)/$C$9)+1,"",P3+1))</f>
        <v/>
      </c>
      <c r="Q4" s="146" t="str">
        <f>IF(P4="","",(ROUND((((COS(S4/180*PI())*$C$5)+(SIN(S4/180*PI())*$C$6)))*(1+(((SUM($C$13,($C$12*$C$24)))/(360/ABS(S4)))/(SQRT(($C$6*$C$6)+($C$5*$C$5)))))/$C$20,0)*$C$20))</f>
        <v/>
      </c>
      <c r="R4" s="146" t="str">
        <f>IF(P4="","",(ROUND((((COS(S4/180*PI())*$C$6)-(SIN(S4/180*PI())*$C$5)))*(1+(((SUM($C$13,($C$12*$C$24)))/(360/ABS(S4)))/(SQRT(($C$6*$C$6)+($C$5*$C$5)))))/$C$20,0)*$C$20))</f>
        <v/>
      </c>
      <c r="S4" s="147" t="str">
        <f t="shared" ref="S4:S52" si="2">IF(P4="","",S3+$G$4)</f>
        <v/>
      </c>
    </row>
    <row r="5" spans="2:19">
      <c r="B5" s="66" t="s">
        <v>961</v>
      </c>
      <c r="C5" s="141"/>
      <c r="D5" s="143" t="str">
        <f t="shared" ref="D5:D53" si="3">IF(D4="","",IF(D4&gt;=ABS((360*$C$17)/$C$9)+1,"",D4+1))</f>
        <v/>
      </c>
      <c r="E5" s="146" t="str">
        <f>IF(D5="","",(ROUND((((COS(G5/180*PI())*($C$5))+(SIN(G5/180*PI())*$C$6)))*(1+(((SUM($C$13,($C$12*$C$24)))/(360/ABS(G5)))/(SQRT(($C$6*$C$6)+($C$5*$C$5)))))/$C$20,0)*$C$20))</f>
        <v/>
      </c>
      <c r="F5" s="146" t="str">
        <f>IF(D5="","",(ROUND((((COS(G5/180*PI())*($C$6))-(SIN(G5/180*PI())*$C$5)))*(1+(((SUM($C$13,($C$12*$C$24)))/(360/ABS(G5)))/(SQRT(($C$6*$C$6)+($C$5*$C$5)))))/$C$20,0)*$C$20))</f>
        <v/>
      </c>
      <c r="G5" s="148" t="str">
        <f>IF(D5="","",G4*2)</f>
        <v/>
      </c>
      <c r="H5" s="143" t="str">
        <f t="shared" ref="H5:H53" si="4">IF(H4="","",IF(H4&gt;=ABS((360*$C$17)/$C$9)+1,"",H4+1))</f>
        <v/>
      </c>
      <c r="I5" s="146" t="str">
        <f t="shared" ref="I5:I53" si="5">IF(H5="","",(ROUND((((COS(K5/180*PI())*$C$5)+(SIN(K5/180*PI())*$C$6)))*(1+(((SUM($C$13,($C$12*$C$24)))/(360/ABS(K5)))/(SQRT(($C$6*$C$6)+($C$5*$C$5)))))/$C$20,0)*$C$20))</f>
        <v/>
      </c>
      <c r="J5" s="146" t="str">
        <f t="shared" ref="J5:J53" si="6">IF(H5="","",(ROUND((((COS(K5/180*PI())*$C$6)-(SIN(K5/180*PI())*$C$5)))*(1+(((SUM($C$13,($C$12*$C$24)))/(360/ABS(K5)))/(SQRT(($C$6*$C$6)+($C$5*$C$5)))))/$C$20,0)*$C$20))</f>
        <v/>
      </c>
      <c r="K5" s="147" t="str">
        <f t="shared" si="0"/>
        <v/>
      </c>
      <c r="L5" s="143" t="str">
        <f t="shared" ref="L5:L53" si="7">IF(L4="","",IF(L4&gt;=ABS((360*$C$17)/$C$9)+1,"",L4+1))</f>
        <v/>
      </c>
      <c r="M5" s="146" t="str">
        <f t="shared" ref="M5:M53" si="8">IF(L5="","",(ROUND((((COS(O5/180*PI())*$C$5)+(SIN(O5/180*PI())*$C$6)))*(1+(((SUM($C$13,($C$12*$C$24)))/(360/ABS(O5)))/(SQRT(($C$6*$C$6)+($C$5*$C$5)))))/$C$20,0)*$C$20))</f>
        <v/>
      </c>
      <c r="N5" s="146" t="str">
        <f t="shared" ref="N5:N53" si="9">IF(L5="","",(ROUND((((COS(O5/180*PI())*$C$6)-(SIN(O5/180*PI())*$C$5)))*(1+(((SUM($C$13,($C$12*$C$24)))/(360/ABS(O5)))/(SQRT(($C$6*$C$6)+($C$5*$C$5)))))/$C$20,0)*$C$20))</f>
        <v/>
      </c>
      <c r="O5" s="147" t="str">
        <f t="shared" si="1"/>
        <v/>
      </c>
      <c r="P5" s="143" t="str">
        <f t="shared" ref="P5:P53" si="10">IF(P4="","",IF(P4&gt;=ABS((360*$C$17)/$C$9)+1,"",P4+1))</f>
        <v/>
      </c>
      <c r="Q5" s="146" t="str">
        <f t="shared" ref="Q5:Q53" si="11">IF(P5="","",(ROUND((((COS(S5/180*PI())*$C$5)+(SIN(S5/180*PI())*$C$6)))*(1+(((SUM($C$13,($C$12*$C$24)))/(360/ABS(S5)))/(SQRT(($C$6*$C$6)+($C$5*$C$5)))))/$C$20,0)*$C$20))</f>
        <v/>
      </c>
      <c r="R5" s="146" t="str">
        <f t="shared" ref="R5:R53" si="12">IF(P5="","",(ROUND((((COS(S5/180*PI())*$C$6)-(SIN(S5/180*PI())*$C$5)))*(1+(((SUM($C$13,($C$12*$C$24)))/(360/ABS(S5)))/(SQRT(($C$6*$C$6)+($C$5*$C$5)))))/$C$20,0)*$C$20))</f>
        <v/>
      </c>
      <c r="S5" s="147" t="str">
        <f t="shared" si="2"/>
        <v/>
      </c>
    </row>
    <row r="6" spans="2:19">
      <c r="B6" s="66" t="s">
        <v>962</v>
      </c>
      <c r="C6" s="141"/>
      <c r="D6" s="143" t="str">
        <f t="shared" si="3"/>
        <v/>
      </c>
      <c r="E6" s="146" t="str">
        <f t="shared" ref="E6:E53" si="13">IF(D6="","",(ROUND((((COS(G6/180*PI())*($C$5))+(SIN(G6/180*PI())*$C$6)))*(1+(((SUM($C$13,($C$12*$C$24)))/(360/ABS(G6)))/(SQRT(($C$6*$C$6)+($C$5*$C$5)))))/$C$20,0)*$C$20))</f>
        <v/>
      </c>
      <c r="F6" s="146" t="str">
        <f t="shared" ref="F6:F53" si="14">IF(D6="","",(ROUND((((COS(G6/180*PI())*($C$6))-(SIN(G6/180*PI())*$C$5)))*(1+(((SUM($C$13,($C$12*$C$24)))/(360/ABS(G6)))/(SQRT(($C$6*$C$6)+($C$5*$C$5)))))/$C$20,0)*$C$20))</f>
        <v/>
      </c>
      <c r="G6" s="148" t="str">
        <f t="shared" ref="G6:G52" si="15">IF(D6="","",G5+$G$4)</f>
        <v/>
      </c>
      <c r="H6" s="143" t="str">
        <f t="shared" si="4"/>
        <v/>
      </c>
      <c r="I6" s="146" t="str">
        <f t="shared" si="5"/>
        <v/>
      </c>
      <c r="J6" s="146" t="str">
        <f t="shared" si="6"/>
        <v/>
      </c>
      <c r="K6" s="147" t="str">
        <f t="shared" si="0"/>
        <v/>
      </c>
      <c r="L6" s="143" t="str">
        <f t="shared" si="7"/>
        <v/>
      </c>
      <c r="M6" s="146" t="str">
        <f t="shared" si="8"/>
        <v/>
      </c>
      <c r="N6" s="146" t="str">
        <f t="shared" si="9"/>
        <v/>
      </c>
      <c r="O6" s="147" t="str">
        <f t="shared" si="1"/>
        <v/>
      </c>
      <c r="P6" s="143" t="str">
        <f t="shared" si="10"/>
        <v/>
      </c>
      <c r="Q6" s="146" t="str">
        <f t="shared" si="11"/>
        <v/>
      </c>
      <c r="R6" s="146" t="str">
        <f t="shared" si="12"/>
        <v/>
      </c>
      <c r="S6" s="147" t="str">
        <f t="shared" si="2"/>
        <v/>
      </c>
    </row>
    <row r="7" spans="2:19">
      <c r="B7" s="66"/>
      <c r="C7" s="38"/>
      <c r="D7" s="143" t="str">
        <f t="shared" si="3"/>
        <v/>
      </c>
      <c r="E7" s="146" t="str">
        <f t="shared" si="13"/>
        <v/>
      </c>
      <c r="F7" s="146" t="str">
        <f t="shared" si="14"/>
        <v/>
      </c>
      <c r="G7" s="148" t="str">
        <f t="shared" si="15"/>
        <v/>
      </c>
      <c r="H7" s="143" t="str">
        <f t="shared" si="4"/>
        <v/>
      </c>
      <c r="I7" s="146" t="str">
        <f t="shared" si="5"/>
        <v/>
      </c>
      <c r="J7" s="146" t="str">
        <f t="shared" si="6"/>
        <v/>
      </c>
      <c r="K7" s="147" t="str">
        <f t="shared" si="0"/>
        <v/>
      </c>
      <c r="L7" s="143" t="str">
        <f t="shared" si="7"/>
        <v/>
      </c>
      <c r="M7" s="146" t="str">
        <f t="shared" si="8"/>
        <v/>
      </c>
      <c r="N7" s="146" t="str">
        <f t="shared" si="9"/>
        <v/>
      </c>
      <c r="O7" s="147" t="str">
        <f t="shared" si="1"/>
        <v/>
      </c>
      <c r="P7" s="143" t="str">
        <f t="shared" si="10"/>
        <v/>
      </c>
      <c r="Q7" s="146" t="str">
        <f t="shared" si="11"/>
        <v/>
      </c>
      <c r="R7" s="146" t="str">
        <f t="shared" si="12"/>
        <v/>
      </c>
      <c r="S7" s="147" t="str">
        <f t="shared" si="2"/>
        <v/>
      </c>
    </row>
    <row r="8" spans="2:19" ht="15.6">
      <c r="B8" s="376" t="s">
        <v>666</v>
      </c>
      <c r="C8" s="11"/>
      <c r="D8" s="143" t="str">
        <f t="shared" si="3"/>
        <v/>
      </c>
      <c r="E8" s="146" t="str">
        <f t="shared" si="13"/>
        <v/>
      </c>
      <c r="F8" s="146" t="str">
        <f t="shared" si="14"/>
        <v/>
      </c>
      <c r="G8" s="148" t="str">
        <f t="shared" si="15"/>
        <v/>
      </c>
      <c r="H8" s="143" t="str">
        <f t="shared" si="4"/>
        <v/>
      </c>
      <c r="I8" s="146" t="str">
        <f t="shared" si="5"/>
        <v/>
      </c>
      <c r="J8" s="146" t="str">
        <f t="shared" si="6"/>
        <v/>
      </c>
      <c r="K8" s="147" t="str">
        <f t="shared" si="0"/>
        <v/>
      </c>
      <c r="L8" s="143" t="str">
        <f t="shared" si="7"/>
        <v/>
      </c>
      <c r="M8" s="146" t="str">
        <f t="shared" si="8"/>
        <v/>
      </c>
      <c r="N8" s="146" t="str">
        <f t="shared" si="9"/>
        <v/>
      </c>
      <c r="O8" s="147" t="str">
        <f t="shared" si="1"/>
        <v/>
      </c>
      <c r="P8" s="143" t="str">
        <f t="shared" si="10"/>
        <v/>
      </c>
      <c r="Q8" s="146" t="str">
        <f t="shared" si="11"/>
        <v/>
      </c>
      <c r="R8" s="146" t="str">
        <f t="shared" si="12"/>
        <v/>
      </c>
      <c r="S8" s="147" t="str">
        <f t="shared" si="2"/>
        <v/>
      </c>
    </row>
    <row r="9" spans="2:19">
      <c r="B9" s="66" t="s">
        <v>661</v>
      </c>
      <c r="C9" s="379"/>
      <c r="D9" s="143" t="str">
        <f t="shared" si="3"/>
        <v/>
      </c>
      <c r="E9" s="146" t="str">
        <f t="shared" si="13"/>
        <v/>
      </c>
      <c r="F9" s="146" t="str">
        <f t="shared" si="14"/>
        <v/>
      </c>
      <c r="G9" s="148" t="str">
        <f t="shared" si="15"/>
        <v/>
      </c>
      <c r="H9" s="143" t="str">
        <f t="shared" si="4"/>
        <v/>
      </c>
      <c r="I9" s="146" t="str">
        <f t="shared" si="5"/>
        <v/>
      </c>
      <c r="J9" s="146" t="str">
        <f t="shared" si="6"/>
        <v/>
      </c>
      <c r="K9" s="147" t="str">
        <f t="shared" si="0"/>
        <v/>
      </c>
      <c r="L9" s="143" t="str">
        <f t="shared" si="7"/>
        <v/>
      </c>
      <c r="M9" s="146" t="str">
        <f t="shared" si="8"/>
        <v/>
      </c>
      <c r="N9" s="146" t="str">
        <f t="shared" si="9"/>
        <v/>
      </c>
      <c r="O9" s="147" t="str">
        <f t="shared" si="1"/>
        <v/>
      </c>
      <c r="P9" s="143" t="str">
        <f t="shared" si="10"/>
        <v/>
      </c>
      <c r="Q9" s="146" t="str">
        <f t="shared" si="11"/>
        <v/>
      </c>
      <c r="R9" s="146" t="str">
        <f t="shared" si="12"/>
        <v/>
      </c>
      <c r="S9" s="147" t="str">
        <f t="shared" si="2"/>
        <v/>
      </c>
    </row>
    <row r="10" spans="2:19">
      <c r="B10" s="93"/>
      <c r="C10" s="15"/>
      <c r="D10" s="143" t="str">
        <f t="shared" si="3"/>
        <v/>
      </c>
      <c r="E10" s="146" t="str">
        <f t="shared" si="13"/>
        <v/>
      </c>
      <c r="F10" s="146" t="str">
        <f t="shared" si="14"/>
        <v/>
      </c>
      <c r="G10" s="148" t="str">
        <f t="shared" si="15"/>
        <v/>
      </c>
      <c r="H10" s="143" t="str">
        <f t="shared" si="4"/>
        <v/>
      </c>
      <c r="I10" s="146" t="str">
        <f t="shared" si="5"/>
        <v/>
      </c>
      <c r="J10" s="146" t="str">
        <f t="shared" si="6"/>
        <v/>
      </c>
      <c r="K10" s="147" t="str">
        <f t="shared" si="0"/>
        <v/>
      </c>
      <c r="L10" s="143" t="str">
        <f t="shared" si="7"/>
        <v/>
      </c>
      <c r="M10" s="146" t="str">
        <f t="shared" si="8"/>
        <v/>
      </c>
      <c r="N10" s="146" t="str">
        <f t="shared" si="9"/>
        <v/>
      </c>
      <c r="O10" s="147" t="str">
        <f t="shared" si="1"/>
        <v/>
      </c>
      <c r="P10" s="143" t="str">
        <f t="shared" si="10"/>
        <v/>
      </c>
      <c r="Q10" s="146" t="str">
        <f t="shared" si="11"/>
        <v/>
      </c>
      <c r="R10" s="146" t="str">
        <f t="shared" si="12"/>
        <v/>
      </c>
      <c r="S10" s="147" t="str">
        <f t="shared" si="2"/>
        <v/>
      </c>
    </row>
    <row r="11" spans="2:19" ht="15.6">
      <c r="B11" s="114" t="s">
        <v>657</v>
      </c>
      <c r="C11" s="95"/>
      <c r="D11" s="143" t="str">
        <f t="shared" si="3"/>
        <v/>
      </c>
      <c r="E11" s="146" t="str">
        <f t="shared" si="13"/>
        <v/>
      </c>
      <c r="F11" s="146" t="str">
        <f t="shared" si="14"/>
        <v/>
      </c>
      <c r="G11" s="148" t="str">
        <f t="shared" si="15"/>
        <v/>
      </c>
      <c r="H11" s="143" t="str">
        <f t="shared" si="4"/>
        <v/>
      </c>
      <c r="I11" s="146" t="str">
        <f t="shared" si="5"/>
        <v/>
      </c>
      <c r="J11" s="146" t="str">
        <f t="shared" si="6"/>
        <v/>
      </c>
      <c r="K11" s="147" t="str">
        <f t="shared" si="0"/>
        <v/>
      </c>
      <c r="L11" s="143" t="str">
        <f t="shared" si="7"/>
        <v/>
      </c>
      <c r="M11" s="146" t="str">
        <f t="shared" si="8"/>
        <v/>
      </c>
      <c r="N11" s="146" t="str">
        <f t="shared" si="9"/>
        <v/>
      </c>
      <c r="O11" s="147" t="str">
        <f t="shared" si="1"/>
        <v/>
      </c>
      <c r="P11" s="143" t="str">
        <f t="shared" si="10"/>
        <v/>
      </c>
      <c r="Q11" s="146" t="str">
        <f t="shared" si="11"/>
        <v/>
      </c>
      <c r="R11" s="146" t="str">
        <f t="shared" si="12"/>
        <v/>
      </c>
      <c r="S11" s="147" t="str">
        <f t="shared" si="2"/>
        <v/>
      </c>
    </row>
    <row r="12" spans="2:19">
      <c r="B12" s="377" t="s">
        <v>663</v>
      </c>
      <c r="C12" s="378"/>
      <c r="D12" s="143" t="str">
        <f t="shared" si="3"/>
        <v/>
      </c>
      <c r="E12" s="146" t="str">
        <f t="shared" si="13"/>
        <v/>
      </c>
      <c r="F12" s="146" t="str">
        <f t="shared" si="14"/>
        <v/>
      </c>
      <c r="G12" s="148" t="str">
        <f t="shared" si="15"/>
        <v/>
      </c>
      <c r="H12" s="143" t="str">
        <f t="shared" si="4"/>
        <v/>
      </c>
      <c r="I12" s="146" t="str">
        <f t="shared" si="5"/>
        <v/>
      </c>
      <c r="J12" s="146" t="str">
        <f t="shared" si="6"/>
        <v/>
      </c>
      <c r="K12" s="147" t="str">
        <f t="shared" si="0"/>
        <v/>
      </c>
      <c r="L12" s="143" t="str">
        <f t="shared" si="7"/>
        <v/>
      </c>
      <c r="M12" s="146" t="str">
        <f t="shared" si="8"/>
        <v/>
      </c>
      <c r="N12" s="146" t="str">
        <f t="shared" si="9"/>
        <v/>
      </c>
      <c r="O12" s="147" t="str">
        <f t="shared" si="1"/>
        <v/>
      </c>
      <c r="P12" s="143" t="str">
        <f t="shared" si="10"/>
        <v/>
      </c>
      <c r="Q12" s="146" t="str">
        <f t="shared" si="11"/>
        <v/>
      </c>
      <c r="R12" s="146" t="str">
        <f t="shared" si="12"/>
        <v/>
      </c>
      <c r="S12" s="147" t="str">
        <f t="shared" si="2"/>
        <v/>
      </c>
    </row>
    <row r="13" spans="2:19">
      <c r="B13" s="377" t="s">
        <v>662</v>
      </c>
      <c r="C13" s="378"/>
      <c r="D13" s="143" t="str">
        <f t="shared" si="3"/>
        <v/>
      </c>
      <c r="E13" s="146" t="str">
        <f t="shared" si="13"/>
        <v/>
      </c>
      <c r="F13" s="146" t="str">
        <f t="shared" si="14"/>
        <v/>
      </c>
      <c r="G13" s="148" t="str">
        <f t="shared" si="15"/>
        <v/>
      </c>
      <c r="H13" s="143" t="str">
        <f t="shared" si="4"/>
        <v/>
      </c>
      <c r="I13" s="146" t="str">
        <f t="shared" si="5"/>
        <v/>
      </c>
      <c r="J13" s="146" t="str">
        <f t="shared" si="6"/>
        <v/>
      </c>
      <c r="K13" s="147" t="str">
        <f t="shared" si="0"/>
        <v/>
      </c>
      <c r="L13" s="143" t="str">
        <f t="shared" si="7"/>
        <v/>
      </c>
      <c r="M13" s="146" t="str">
        <f t="shared" si="8"/>
        <v/>
      </c>
      <c r="N13" s="146" t="str">
        <f t="shared" si="9"/>
        <v/>
      </c>
      <c r="O13" s="147" t="str">
        <f t="shared" si="1"/>
        <v/>
      </c>
      <c r="P13" s="143" t="str">
        <f t="shared" si="10"/>
        <v/>
      </c>
      <c r="Q13" s="146" t="str">
        <f t="shared" si="11"/>
        <v/>
      </c>
      <c r="R13" s="146" t="str">
        <f t="shared" si="12"/>
        <v/>
      </c>
      <c r="S13" s="147" t="str">
        <f t="shared" si="2"/>
        <v/>
      </c>
    </row>
    <row r="14" spans="2:19">
      <c r="B14" s="66"/>
      <c r="C14" s="38"/>
      <c r="D14" s="143" t="str">
        <f t="shared" si="3"/>
        <v/>
      </c>
      <c r="E14" s="146" t="str">
        <f t="shared" si="13"/>
        <v/>
      </c>
      <c r="F14" s="146" t="str">
        <f t="shared" si="14"/>
        <v/>
      </c>
      <c r="G14" s="148" t="str">
        <f t="shared" si="15"/>
        <v/>
      </c>
      <c r="H14" s="143" t="str">
        <f t="shared" si="4"/>
        <v/>
      </c>
      <c r="I14" s="146" t="str">
        <f t="shared" si="5"/>
        <v/>
      </c>
      <c r="J14" s="146" t="str">
        <f t="shared" si="6"/>
        <v/>
      </c>
      <c r="K14" s="147" t="str">
        <f t="shared" si="0"/>
        <v/>
      </c>
      <c r="L14" s="143" t="str">
        <f t="shared" si="7"/>
        <v/>
      </c>
      <c r="M14" s="146" t="str">
        <f t="shared" si="8"/>
        <v/>
      </c>
      <c r="N14" s="146" t="str">
        <f t="shared" si="9"/>
        <v/>
      </c>
      <c r="O14" s="147" t="str">
        <f t="shared" si="1"/>
        <v/>
      </c>
      <c r="P14" s="143" t="str">
        <f t="shared" si="10"/>
        <v/>
      </c>
      <c r="Q14" s="146" t="str">
        <f t="shared" si="11"/>
        <v/>
      </c>
      <c r="R14" s="146" t="str">
        <f t="shared" si="12"/>
        <v/>
      </c>
      <c r="S14" s="147" t="str">
        <f t="shared" si="2"/>
        <v/>
      </c>
    </row>
    <row r="15" spans="2:19" ht="15.6">
      <c r="B15" s="192" t="s">
        <v>658</v>
      </c>
      <c r="C15" s="11"/>
      <c r="D15" s="143" t="str">
        <f t="shared" si="3"/>
        <v/>
      </c>
      <c r="E15" s="146" t="str">
        <f t="shared" si="13"/>
        <v/>
      </c>
      <c r="F15" s="146" t="str">
        <f t="shared" si="14"/>
        <v/>
      </c>
      <c r="G15" s="148" t="str">
        <f t="shared" si="15"/>
        <v/>
      </c>
      <c r="H15" s="143" t="str">
        <f t="shared" si="4"/>
        <v/>
      </c>
      <c r="I15" s="146" t="str">
        <f t="shared" si="5"/>
        <v/>
      </c>
      <c r="J15" s="146" t="str">
        <f t="shared" si="6"/>
        <v/>
      </c>
      <c r="K15" s="147" t="str">
        <f t="shared" si="0"/>
        <v/>
      </c>
      <c r="L15" s="143" t="str">
        <f t="shared" si="7"/>
        <v/>
      </c>
      <c r="M15" s="146" t="str">
        <f t="shared" si="8"/>
        <v/>
      </c>
      <c r="N15" s="146" t="str">
        <f t="shared" si="9"/>
        <v/>
      </c>
      <c r="O15" s="147" t="str">
        <f t="shared" si="1"/>
        <v/>
      </c>
      <c r="P15" s="143" t="str">
        <f t="shared" si="10"/>
        <v/>
      </c>
      <c r="Q15" s="146" t="str">
        <f t="shared" si="11"/>
        <v/>
      </c>
      <c r="R15" s="146" t="str">
        <f t="shared" si="12"/>
        <v/>
      </c>
      <c r="S15" s="147" t="str">
        <f t="shared" si="2"/>
        <v/>
      </c>
    </row>
    <row r="16" spans="2:19" ht="15.6">
      <c r="B16" s="376" t="s">
        <v>659</v>
      </c>
      <c r="C16" s="11"/>
      <c r="D16" s="143" t="str">
        <f t="shared" si="3"/>
        <v/>
      </c>
      <c r="E16" s="146" t="str">
        <f t="shared" si="13"/>
        <v/>
      </c>
      <c r="F16" s="146" t="str">
        <f t="shared" si="14"/>
        <v/>
      </c>
      <c r="G16" s="148" t="str">
        <f t="shared" si="15"/>
        <v/>
      </c>
      <c r="H16" s="143" t="str">
        <f t="shared" si="4"/>
        <v/>
      </c>
      <c r="I16" s="146" t="str">
        <f t="shared" si="5"/>
        <v/>
      </c>
      <c r="J16" s="146" t="str">
        <f t="shared" si="6"/>
        <v/>
      </c>
      <c r="K16" s="147" t="str">
        <f t="shared" si="0"/>
        <v/>
      </c>
      <c r="L16" s="143" t="str">
        <f t="shared" si="7"/>
        <v/>
      </c>
      <c r="M16" s="146" t="str">
        <f t="shared" si="8"/>
        <v/>
      </c>
      <c r="N16" s="146" t="str">
        <f t="shared" si="9"/>
        <v/>
      </c>
      <c r="O16" s="147" t="str">
        <f t="shared" si="1"/>
        <v/>
      </c>
      <c r="P16" s="143" t="str">
        <f t="shared" si="10"/>
        <v/>
      </c>
      <c r="Q16" s="146" t="str">
        <f t="shared" si="11"/>
        <v/>
      </c>
      <c r="R16" s="146" t="str">
        <f t="shared" si="12"/>
        <v/>
      </c>
      <c r="S16" s="147" t="str">
        <f t="shared" si="2"/>
        <v/>
      </c>
    </row>
    <row r="17" spans="2:19">
      <c r="B17" s="66" t="s">
        <v>667</v>
      </c>
      <c r="C17" s="378"/>
      <c r="D17" s="143" t="str">
        <f t="shared" si="3"/>
        <v/>
      </c>
      <c r="E17" s="146" t="str">
        <f t="shared" si="13"/>
        <v/>
      </c>
      <c r="F17" s="146" t="str">
        <f t="shared" si="14"/>
        <v/>
      </c>
      <c r="G17" s="148" t="str">
        <f t="shared" si="15"/>
        <v/>
      </c>
      <c r="H17" s="143" t="str">
        <f t="shared" si="4"/>
        <v/>
      </c>
      <c r="I17" s="146" t="str">
        <f t="shared" si="5"/>
        <v/>
      </c>
      <c r="J17" s="146" t="str">
        <f t="shared" si="6"/>
        <v/>
      </c>
      <c r="K17" s="147" t="str">
        <f t="shared" si="0"/>
        <v/>
      </c>
      <c r="L17" s="143" t="str">
        <f t="shared" si="7"/>
        <v/>
      </c>
      <c r="M17" s="146" t="str">
        <f t="shared" si="8"/>
        <v/>
      </c>
      <c r="N17" s="146" t="str">
        <f t="shared" si="9"/>
        <v/>
      </c>
      <c r="O17" s="147" t="str">
        <f t="shared" si="1"/>
        <v/>
      </c>
      <c r="P17" s="143" t="str">
        <f t="shared" si="10"/>
        <v/>
      </c>
      <c r="Q17" s="146" t="str">
        <f t="shared" si="11"/>
        <v/>
      </c>
      <c r="R17" s="146" t="str">
        <f t="shared" si="12"/>
        <v/>
      </c>
      <c r="S17" s="147" t="str">
        <f t="shared" si="2"/>
        <v/>
      </c>
    </row>
    <row r="18" spans="2:19">
      <c r="B18" s="63"/>
      <c r="C18" s="18"/>
      <c r="D18" s="143" t="str">
        <f t="shared" si="3"/>
        <v/>
      </c>
      <c r="E18" s="146" t="str">
        <f t="shared" si="13"/>
        <v/>
      </c>
      <c r="F18" s="146" t="str">
        <f t="shared" si="14"/>
        <v/>
      </c>
      <c r="G18" s="148" t="str">
        <f t="shared" si="15"/>
        <v/>
      </c>
      <c r="H18" s="143" t="str">
        <f t="shared" si="4"/>
        <v/>
      </c>
      <c r="I18" s="146" t="str">
        <f t="shared" si="5"/>
        <v/>
      </c>
      <c r="J18" s="146" t="str">
        <f t="shared" si="6"/>
        <v/>
      </c>
      <c r="K18" s="147" t="str">
        <f t="shared" si="0"/>
        <v/>
      </c>
      <c r="L18" s="143" t="str">
        <f t="shared" si="7"/>
        <v/>
      </c>
      <c r="M18" s="146" t="str">
        <f t="shared" si="8"/>
        <v/>
      </c>
      <c r="N18" s="146" t="str">
        <f t="shared" si="9"/>
        <v/>
      </c>
      <c r="O18" s="147" t="str">
        <f t="shared" si="1"/>
        <v/>
      </c>
      <c r="P18" s="143" t="str">
        <f t="shared" si="10"/>
        <v/>
      </c>
      <c r="Q18" s="146" t="str">
        <f t="shared" si="11"/>
        <v/>
      </c>
      <c r="R18" s="146" t="str">
        <f t="shared" si="12"/>
        <v/>
      </c>
      <c r="S18" s="147" t="str">
        <f t="shared" si="2"/>
        <v/>
      </c>
    </row>
    <row r="19" spans="2:19" ht="15.6">
      <c r="B19" s="376" t="s">
        <v>653</v>
      </c>
      <c r="C19" s="375"/>
      <c r="D19" s="143" t="str">
        <f t="shared" si="3"/>
        <v/>
      </c>
      <c r="E19" s="146" t="str">
        <f t="shared" si="13"/>
        <v/>
      </c>
      <c r="F19" s="146" t="str">
        <f t="shared" si="14"/>
        <v/>
      </c>
      <c r="G19" s="148" t="str">
        <f t="shared" si="15"/>
        <v/>
      </c>
      <c r="H19" s="143" t="str">
        <f t="shared" si="4"/>
        <v/>
      </c>
      <c r="I19" s="146" t="str">
        <f t="shared" si="5"/>
        <v/>
      </c>
      <c r="J19" s="146" t="str">
        <f t="shared" si="6"/>
        <v/>
      </c>
      <c r="K19" s="147" t="str">
        <f t="shared" si="0"/>
        <v/>
      </c>
      <c r="L19" s="143" t="str">
        <f t="shared" si="7"/>
        <v/>
      </c>
      <c r="M19" s="146" t="str">
        <f t="shared" si="8"/>
        <v/>
      </c>
      <c r="N19" s="146" t="str">
        <f t="shared" si="9"/>
        <v/>
      </c>
      <c r="O19" s="147" t="str">
        <f t="shared" si="1"/>
        <v/>
      </c>
      <c r="P19" s="143" t="str">
        <f t="shared" si="10"/>
        <v/>
      </c>
      <c r="Q19" s="146" t="str">
        <f t="shared" si="11"/>
        <v/>
      </c>
      <c r="R19" s="146" t="str">
        <f t="shared" si="12"/>
        <v/>
      </c>
      <c r="S19" s="147" t="str">
        <f t="shared" si="2"/>
        <v/>
      </c>
    </row>
    <row r="20" spans="2:19">
      <c r="B20" s="377" t="s">
        <v>654</v>
      </c>
      <c r="C20" s="378">
        <v>1E-4</v>
      </c>
      <c r="D20" s="143" t="str">
        <f t="shared" si="3"/>
        <v/>
      </c>
      <c r="E20" s="146" t="str">
        <f t="shared" si="13"/>
        <v/>
      </c>
      <c r="F20" s="146" t="str">
        <f t="shared" si="14"/>
        <v/>
      </c>
      <c r="G20" s="148" t="str">
        <f t="shared" si="15"/>
        <v/>
      </c>
      <c r="H20" s="143" t="str">
        <f t="shared" si="4"/>
        <v/>
      </c>
      <c r="I20" s="146" t="str">
        <f t="shared" si="5"/>
        <v/>
      </c>
      <c r="J20" s="146" t="str">
        <f t="shared" si="6"/>
        <v/>
      </c>
      <c r="K20" s="147" t="str">
        <f t="shared" si="0"/>
        <v/>
      </c>
      <c r="L20" s="143" t="str">
        <f t="shared" si="7"/>
        <v/>
      </c>
      <c r="M20" s="146" t="str">
        <f t="shared" si="8"/>
        <v/>
      </c>
      <c r="N20" s="146" t="str">
        <f t="shared" si="9"/>
        <v/>
      </c>
      <c r="O20" s="147" t="str">
        <f t="shared" si="1"/>
        <v/>
      </c>
      <c r="P20" s="143" t="str">
        <f t="shared" si="10"/>
        <v/>
      </c>
      <c r="Q20" s="146" t="str">
        <f t="shared" si="11"/>
        <v/>
      </c>
      <c r="R20" s="146" t="str">
        <f t="shared" si="12"/>
        <v/>
      </c>
      <c r="S20" s="147" t="str">
        <f t="shared" si="2"/>
        <v/>
      </c>
    </row>
    <row r="21" spans="2:19">
      <c r="B21" s="66"/>
      <c r="C21" s="38"/>
      <c r="D21" s="143" t="str">
        <f t="shared" si="3"/>
        <v/>
      </c>
      <c r="E21" s="146" t="str">
        <f t="shared" si="13"/>
        <v/>
      </c>
      <c r="F21" s="146" t="str">
        <f t="shared" si="14"/>
        <v/>
      </c>
      <c r="G21" s="148" t="str">
        <f t="shared" si="15"/>
        <v/>
      </c>
      <c r="H21" s="143" t="str">
        <f t="shared" si="4"/>
        <v/>
      </c>
      <c r="I21" s="146" t="str">
        <f t="shared" si="5"/>
        <v/>
      </c>
      <c r="J21" s="146" t="str">
        <f t="shared" si="6"/>
        <v/>
      </c>
      <c r="K21" s="147" t="str">
        <f t="shared" si="0"/>
        <v/>
      </c>
      <c r="L21" s="143" t="str">
        <f t="shared" si="7"/>
        <v/>
      </c>
      <c r="M21" s="146" t="str">
        <f t="shared" si="8"/>
        <v/>
      </c>
      <c r="N21" s="146" t="str">
        <f t="shared" si="9"/>
        <v/>
      </c>
      <c r="O21" s="147" t="str">
        <f t="shared" si="1"/>
        <v/>
      </c>
      <c r="P21" s="143" t="str">
        <f t="shared" si="10"/>
        <v/>
      </c>
      <c r="Q21" s="146" t="str">
        <f t="shared" si="11"/>
        <v/>
      </c>
      <c r="R21" s="146" t="str">
        <f t="shared" si="12"/>
        <v/>
      </c>
      <c r="S21" s="147" t="str">
        <f t="shared" si="2"/>
        <v/>
      </c>
    </row>
    <row r="22" spans="2:19" ht="15.6">
      <c r="B22" s="192" t="str">
        <f>IF(C9="","","Number of Holes")</f>
        <v/>
      </c>
      <c r="C22" s="383"/>
      <c r="D22" s="143" t="str">
        <f t="shared" si="3"/>
        <v/>
      </c>
      <c r="E22" s="146" t="str">
        <f t="shared" si="13"/>
        <v/>
      </c>
      <c r="F22" s="146" t="str">
        <f t="shared" si="14"/>
        <v/>
      </c>
      <c r="G22" s="148" t="str">
        <f t="shared" si="15"/>
        <v/>
      </c>
      <c r="H22" s="143" t="str">
        <f t="shared" si="4"/>
        <v/>
      </c>
      <c r="I22" s="146" t="str">
        <f t="shared" si="5"/>
        <v/>
      </c>
      <c r="J22" s="146" t="str">
        <f t="shared" si="6"/>
        <v/>
      </c>
      <c r="K22" s="147" t="str">
        <f t="shared" si="0"/>
        <v/>
      </c>
      <c r="L22" s="143" t="str">
        <f t="shared" si="7"/>
        <v/>
      </c>
      <c r="M22" s="146" t="str">
        <f t="shared" si="8"/>
        <v/>
      </c>
      <c r="N22" s="146" t="str">
        <f t="shared" si="9"/>
        <v/>
      </c>
      <c r="O22" s="147" t="str">
        <f t="shared" si="1"/>
        <v/>
      </c>
      <c r="P22" s="143" t="str">
        <f t="shared" si="10"/>
        <v/>
      </c>
      <c r="Q22" s="146" t="str">
        <f t="shared" si="11"/>
        <v/>
      </c>
      <c r="R22" s="146" t="str">
        <f t="shared" si="12"/>
        <v/>
      </c>
      <c r="S22" s="147" t="str">
        <f t="shared" si="2"/>
        <v/>
      </c>
    </row>
    <row r="23" spans="2:19" ht="15.6">
      <c r="B23" s="376" t="str">
        <f>IF(C9="","","Per Revolution")</f>
        <v/>
      </c>
      <c r="C23" s="384"/>
      <c r="D23" s="143" t="str">
        <f t="shared" si="3"/>
        <v/>
      </c>
      <c r="E23" s="146" t="str">
        <f t="shared" si="13"/>
        <v/>
      </c>
      <c r="F23" s="146" t="str">
        <f t="shared" si="14"/>
        <v/>
      </c>
      <c r="G23" s="148" t="str">
        <f t="shared" si="15"/>
        <v/>
      </c>
      <c r="H23" s="143" t="str">
        <f t="shared" si="4"/>
        <v/>
      </c>
      <c r="I23" s="146" t="str">
        <f t="shared" si="5"/>
        <v/>
      </c>
      <c r="J23" s="146" t="str">
        <f t="shared" si="6"/>
        <v/>
      </c>
      <c r="K23" s="147" t="str">
        <f t="shared" si="0"/>
        <v/>
      </c>
      <c r="L23" s="143" t="str">
        <f t="shared" si="7"/>
        <v/>
      </c>
      <c r="M23" s="146" t="str">
        <f t="shared" si="8"/>
        <v/>
      </c>
      <c r="N23" s="146" t="str">
        <f t="shared" si="9"/>
        <v/>
      </c>
      <c r="O23" s="147" t="str">
        <f t="shared" si="1"/>
        <v/>
      </c>
      <c r="P23" s="143" t="str">
        <f t="shared" si="10"/>
        <v/>
      </c>
      <c r="Q23" s="146" t="str">
        <f t="shared" si="11"/>
        <v/>
      </c>
      <c r="R23" s="146" t="str">
        <f t="shared" si="12"/>
        <v/>
      </c>
      <c r="S23" s="147" t="str">
        <f t="shared" si="2"/>
        <v/>
      </c>
    </row>
    <row r="24" spans="2:19">
      <c r="B24" s="377" t="str">
        <f>IF(C9="","","Holes =")</f>
        <v/>
      </c>
      <c r="C24" s="385" t="str">
        <f>IF(C9="","",ABS(360/C9))</f>
        <v/>
      </c>
      <c r="D24" s="143" t="str">
        <f t="shared" si="3"/>
        <v/>
      </c>
      <c r="E24" s="146" t="str">
        <f t="shared" si="13"/>
        <v/>
      </c>
      <c r="F24" s="146" t="str">
        <f t="shared" si="14"/>
        <v/>
      </c>
      <c r="G24" s="148" t="str">
        <f t="shared" si="15"/>
        <v/>
      </c>
      <c r="H24" s="143" t="str">
        <f t="shared" si="4"/>
        <v/>
      </c>
      <c r="I24" s="146" t="str">
        <f t="shared" si="5"/>
        <v/>
      </c>
      <c r="J24" s="146" t="str">
        <f t="shared" si="6"/>
        <v/>
      </c>
      <c r="K24" s="147" t="str">
        <f t="shared" si="0"/>
        <v/>
      </c>
      <c r="L24" s="143" t="str">
        <f t="shared" si="7"/>
        <v/>
      </c>
      <c r="M24" s="146" t="str">
        <f t="shared" si="8"/>
        <v/>
      </c>
      <c r="N24" s="146" t="str">
        <f t="shared" si="9"/>
        <v/>
      </c>
      <c r="O24" s="147" t="str">
        <f t="shared" si="1"/>
        <v/>
      </c>
      <c r="P24" s="143" t="str">
        <f t="shared" si="10"/>
        <v/>
      </c>
      <c r="Q24" s="146" t="str">
        <f t="shared" si="11"/>
        <v/>
      </c>
      <c r="R24" s="146" t="str">
        <f t="shared" si="12"/>
        <v/>
      </c>
      <c r="S24" s="147" t="str">
        <f t="shared" si="2"/>
        <v/>
      </c>
    </row>
    <row r="25" spans="2:19">
      <c r="B25" s="66"/>
      <c r="C25" s="38"/>
      <c r="D25" s="143" t="str">
        <f t="shared" si="3"/>
        <v/>
      </c>
      <c r="E25" s="146" t="str">
        <f t="shared" si="13"/>
        <v/>
      </c>
      <c r="F25" s="146" t="str">
        <f t="shared" si="14"/>
        <v/>
      </c>
      <c r="G25" s="148" t="str">
        <f t="shared" si="15"/>
        <v/>
      </c>
      <c r="H25" s="143" t="str">
        <f t="shared" si="4"/>
        <v/>
      </c>
      <c r="I25" s="146" t="str">
        <f t="shared" si="5"/>
        <v/>
      </c>
      <c r="J25" s="146" t="str">
        <f t="shared" si="6"/>
        <v/>
      </c>
      <c r="K25" s="147" t="str">
        <f t="shared" si="0"/>
        <v/>
      </c>
      <c r="L25" s="143" t="str">
        <f t="shared" si="7"/>
        <v/>
      </c>
      <c r="M25" s="146" t="str">
        <f t="shared" si="8"/>
        <v/>
      </c>
      <c r="N25" s="146" t="str">
        <f t="shared" si="9"/>
        <v/>
      </c>
      <c r="O25" s="147" t="str">
        <f t="shared" si="1"/>
        <v/>
      </c>
      <c r="P25" s="143" t="str">
        <f t="shared" si="10"/>
        <v/>
      </c>
      <c r="Q25" s="146" t="str">
        <f t="shared" si="11"/>
        <v/>
      </c>
      <c r="R25" s="146" t="str">
        <f t="shared" si="12"/>
        <v/>
      </c>
      <c r="S25" s="147" t="str">
        <f t="shared" si="2"/>
        <v/>
      </c>
    </row>
    <row r="26" spans="2:19" ht="15.6">
      <c r="B26" s="376" t="str">
        <f>IF(C12="","","Offset Per Revolution")</f>
        <v/>
      </c>
      <c r="C26" s="11"/>
      <c r="D26" s="143" t="str">
        <f t="shared" si="3"/>
        <v/>
      </c>
      <c r="E26" s="146" t="str">
        <f t="shared" si="13"/>
        <v/>
      </c>
      <c r="F26" s="146" t="str">
        <f t="shared" si="14"/>
        <v/>
      </c>
      <c r="G26" s="148" t="str">
        <f t="shared" si="15"/>
        <v/>
      </c>
      <c r="H26" s="143" t="str">
        <f t="shared" si="4"/>
        <v/>
      </c>
      <c r="I26" s="146" t="str">
        <f t="shared" si="5"/>
        <v/>
      </c>
      <c r="J26" s="146" t="str">
        <f t="shared" si="6"/>
        <v/>
      </c>
      <c r="K26" s="147" t="str">
        <f t="shared" si="0"/>
        <v/>
      </c>
      <c r="L26" s="143" t="str">
        <f t="shared" si="7"/>
        <v/>
      </c>
      <c r="M26" s="146" t="str">
        <f t="shared" si="8"/>
        <v/>
      </c>
      <c r="N26" s="146" t="str">
        <f t="shared" si="9"/>
        <v/>
      </c>
      <c r="O26" s="147" t="str">
        <f t="shared" si="1"/>
        <v/>
      </c>
      <c r="P26" s="143" t="str">
        <f t="shared" si="10"/>
        <v/>
      </c>
      <c r="Q26" s="146" t="str">
        <f t="shared" si="11"/>
        <v/>
      </c>
      <c r="R26" s="146" t="str">
        <f t="shared" si="12"/>
        <v/>
      </c>
      <c r="S26" s="147" t="str">
        <f t="shared" si="2"/>
        <v/>
      </c>
    </row>
    <row r="27" spans="2:19">
      <c r="B27" s="66" t="str">
        <f>IF(C12="","","Offset =")</f>
        <v/>
      </c>
      <c r="C27" s="50" t="str">
        <f>IF(C12="","",SUM(C12*C24))</f>
        <v/>
      </c>
      <c r="D27" s="143" t="str">
        <f t="shared" si="3"/>
        <v/>
      </c>
      <c r="E27" s="146" t="str">
        <f t="shared" si="13"/>
        <v/>
      </c>
      <c r="F27" s="146" t="str">
        <f t="shared" si="14"/>
        <v/>
      </c>
      <c r="G27" s="148" t="str">
        <f t="shared" si="15"/>
        <v/>
      </c>
      <c r="H27" s="143" t="str">
        <f t="shared" si="4"/>
        <v/>
      </c>
      <c r="I27" s="146" t="str">
        <f t="shared" si="5"/>
        <v/>
      </c>
      <c r="J27" s="146" t="str">
        <f t="shared" si="6"/>
        <v/>
      </c>
      <c r="K27" s="147" t="str">
        <f t="shared" si="0"/>
        <v/>
      </c>
      <c r="L27" s="143" t="str">
        <f t="shared" si="7"/>
        <v/>
      </c>
      <c r="M27" s="146" t="str">
        <f t="shared" si="8"/>
        <v/>
      </c>
      <c r="N27" s="146" t="str">
        <f t="shared" si="9"/>
        <v/>
      </c>
      <c r="O27" s="147" t="str">
        <f t="shared" si="1"/>
        <v/>
      </c>
      <c r="P27" s="143" t="str">
        <f t="shared" si="10"/>
        <v/>
      </c>
      <c r="Q27" s="146" t="str">
        <f t="shared" si="11"/>
        <v/>
      </c>
      <c r="R27" s="146" t="str">
        <f t="shared" si="12"/>
        <v/>
      </c>
      <c r="S27" s="147" t="str">
        <f t="shared" si="2"/>
        <v/>
      </c>
    </row>
    <row r="28" spans="2:19">
      <c r="B28" s="66"/>
      <c r="C28" s="38"/>
      <c r="D28" s="143" t="str">
        <f t="shared" si="3"/>
        <v/>
      </c>
      <c r="E28" s="146" t="str">
        <f t="shared" si="13"/>
        <v/>
      </c>
      <c r="F28" s="146" t="str">
        <f t="shared" si="14"/>
        <v/>
      </c>
      <c r="G28" s="148" t="str">
        <f t="shared" si="15"/>
        <v/>
      </c>
      <c r="H28" s="143" t="str">
        <f t="shared" si="4"/>
        <v/>
      </c>
      <c r="I28" s="146" t="str">
        <f t="shared" si="5"/>
        <v/>
      </c>
      <c r="J28" s="146" t="str">
        <f t="shared" si="6"/>
        <v/>
      </c>
      <c r="K28" s="147" t="str">
        <f t="shared" si="0"/>
        <v/>
      </c>
      <c r="L28" s="143" t="str">
        <f t="shared" si="7"/>
        <v/>
      </c>
      <c r="M28" s="146" t="str">
        <f t="shared" si="8"/>
        <v/>
      </c>
      <c r="N28" s="146" t="str">
        <f t="shared" si="9"/>
        <v/>
      </c>
      <c r="O28" s="147" t="str">
        <f t="shared" si="1"/>
        <v/>
      </c>
      <c r="P28" s="143" t="str">
        <f t="shared" si="10"/>
        <v/>
      </c>
      <c r="Q28" s="146" t="str">
        <f t="shared" si="11"/>
        <v/>
      </c>
      <c r="R28" s="146" t="str">
        <f t="shared" si="12"/>
        <v/>
      </c>
      <c r="S28" s="147" t="str">
        <f t="shared" si="2"/>
        <v/>
      </c>
    </row>
    <row r="29" spans="2:19" ht="15.6">
      <c r="B29" s="376" t="str">
        <f>IF(C13="","","Offset Per Hole")</f>
        <v/>
      </c>
      <c r="C29" s="11"/>
      <c r="D29" s="143" t="str">
        <f t="shared" si="3"/>
        <v/>
      </c>
      <c r="E29" s="146" t="str">
        <f t="shared" si="13"/>
        <v/>
      </c>
      <c r="F29" s="146" t="str">
        <f t="shared" si="14"/>
        <v/>
      </c>
      <c r="G29" s="148" t="str">
        <f t="shared" si="15"/>
        <v/>
      </c>
      <c r="H29" s="143" t="str">
        <f t="shared" si="4"/>
        <v/>
      </c>
      <c r="I29" s="146" t="str">
        <f t="shared" si="5"/>
        <v/>
      </c>
      <c r="J29" s="146" t="str">
        <f t="shared" si="6"/>
        <v/>
      </c>
      <c r="K29" s="147" t="str">
        <f t="shared" si="0"/>
        <v/>
      </c>
      <c r="L29" s="143" t="str">
        <f t="shared" si="7"/>
        <v/>
      </c>
      <c r="M29" s="146" t="str">
        <f t="shared" si="8"/>
        <v/>
      </c>
      <c r="N29" s="146" t="str">
        <f t="shared" si="9"/>
        <v/>
      </c>
      <c r="O29" s="147" t="str">
        <f t="shared" si="1"/>
        <v/>
      </c>
      <c r="P29" s="143" t="str">
        <f t="shared" si="10"/>
        <v/>
      </c>
      <c r="Q29" s="146" t="str">
        <f t="shared" si="11"/>
        <v/>
      </c>
      <c r="R29" s="146" t="str">
        <f t="shared" si="12"/>
        <v/>
      </c>
      <c r="S29" s="147" t="str">
        <f t="shared" si="2"/>
        <v/>
      </c>
    </row>
    <row r="30" spans="2:19">
      <c r="B30" s="66" t="str">
        <f>IF(C13="","","Offset =")</f>
        <v/>
      </c>
      <c r="C30" s="50" t="str">
        <f>IF(C13="","",C13/C24)</f>
        <v/>
      </c>
      <c r="D30" s="143" t="str">
        <f t="shared" si="3"/>
        <v/>
      </c>
      <c r="E30" s="146" t="str">
        <f t="shared" si="13"/>
        <v/>
      </c>
      <c r="F30" s="146" t="str">
        <f t="shared" si="14"/>
        <v/>
      </c>
      <c r="G30" s="148" t="str">
        <f t="shared" si="15"/>
        <v/>
      </c>
      <c r="H30" s="143" t="str">
        <f t="shared" si="4"/>
        <v/>
      </c>
      <c r="I30" s="146" t="str">
        <f t="shared" si="5"/>
        <v/>
      </c>
      <c r="J30" s="146" t="str">
        <f t="shared" si="6"/>
        <v/>
      </c>
      <c r="K30" s="147" t="str">
        <f t="shared" si="0"/>
        <v/>
      </c>
      <c r="L30" s="143" t="str">
        <f t="shared" si="7"/>
        <v/>
      </c>
      <c r="M30" s="146" t="str">
        <f t="shared" si="8"/>
        <v/>
      </c>
      <c r="N30" s="146" t="str">
        <f t="shared" si="9"/>
        <v/>
      </c>
      <c r="O30" s="147" t="str">
        <f t="shared" si="1"/>
        <v/>
      </c>
      <c r="P30" s="143" t="str">
        <f t="shared" si="10"/>
        <v/>
      </c>
      <c r="Q30" s="146" t="str">
        <f t="shared" si="11"/>
        <v/>
      </c>
      <c r="R30" s="146" t="str">
        <f t="shared" si="12"/>
        <v/>
      </c>
      <c r="S30" s="147" t="str">
        <f t="shared" si="2"/>
        <v/>
      </c>
    </row>
    <row r="31" spans="2:19">
      <c r="B31" s="66"/>
      <c r="C31" s="117"/>
      <c r="D31" s="143" t="str">
        <f t="shared" si="3"/>
        <v/>
      </c>
      <c r="E31" s="146" t="str">
        <f t="shared" si="13"/>
        <v/>
      </c>
      <c r="F31" s="146" t="str">
        <f t="shared" si="14"/>
        <v/>
      </c>
      <c r="G31" s="148" t="str">
        <f t="shared" si="15"/>
        <v/>
      </c>
      <c r="H31" s="143" t="str">
        <f t="shared" si="4"/>
        <v/>
      </c>
      <c r="I31" s="146" t="str">
        <f t="shared" si="5"/>
        <v/>
      </c>
      <c r="J31" s="146" t="str">
        <f t="shared" si="6"/>
        <v/>
      </c>
      <c r="K31" s="147" t="str">
        <f t="shared" si="0"/>
        <v/>
      </c>
      <c r="L31" s="143" t="str">
        <f t="shared" si="7"/>
        <v/>
      </c>
      <c r="M31" s="146" t="str">
        <f t="shared" si="8"/>
        <v/>
      </c>
      <c r="N31" s="146" t="str">
        <f t="shared" si="9"/>
        <v/>
      </c>
      <c r="O31" s="147" t="str">
        <f t="shared" si="1"/>
        <v/>
      </c>
      <c r="P31" s="143" t="str">
        <f t="shared" si="10"/>
        <v/>
      </c>
      <c r="Q31" s="146" t="str">
        <f t="shared" si="11"/>
        <v/>
      </c>
      <c r="R31" s="146" t="str">
        <f t="shared" si="12"/>
        <v/>
      </c>
      <c r="S31" s="147" t="str">
        <f t="shared" si="2"/>
        <v/>
      </c>
    </row>
    <row r="32" spans="2:19" ht="15.6">
      <c r="B32" s="376" t="s">
        <v>971</v>
      </c>
      <c r="C32" s="11"/>
      <c r="D32" s="143" t="str">
        <f t="shared" si="3"/>
        <v/>
      </c>
      <c r="E32" s="146" t="str">
        <f t="shared" si="13"/>
        <v/>
      </c>
      <c r="F32" s="146" t="str">
        <f t="shared" si="14"/>
        <v/>
      </c>
      <c r="G32" s="148" t="str">
        <f t="shared" si="15"/>
        <v/>
      </c>
      <c r="H32" s="143" t="str">
        <f t="shared" si="4"/>
        <v/>
      </c>
      <c r="I32" s="146" t="str">
        <f t="shared" si="5"/>
        <v/>
      </c>
      <c r="J32" s="146" t="str">
        <f t="shared" si="6"/>
        <v/>
      </c>
      <c r="K32" s="147" t="str">
        <f t="shared" si="0"/>
        <v/>
      </c>
      <c r="L32" s="143" t="str">
        <f t="shared" si="7"/>
        <v/>
      </c>
      <c r="M32" s="146" t="str">
        <f t="shared" si="8"/>
        <v/>
      </c>
      <c r="N32" s="146" t="str">
        <f t="shared" si="9"/>
        <v/>
      </c>
      <c r="O32" s="147" t="str">
        <f t="shared" si="1"/>
        <v/>
      </c>
      <c r="P32" s="143" t="str">
        <f t="shared" si="10"/>
        <v/>
      </c>
      <c r="Q32" s="146" t="str">
        <f t="shared" si="11"/>
        <v/>
      </c>
      <c r="R32" s="146" t="str">
        <f t="shared" si="12"/>
        <v/>
      </c>
      <c r="S32" s="147" t="str">
        <f t="shared" si="2"/>
        <v/>
      </c>
    </row>
    <row r="33" spans="2:19">
      <c r="B33" s="66" t="str">
        <f>IF(G4="","",TRUNC(G4))</f>
        <v/>
      </c>
      <c r="C33" s="15" t="s">
        <v>90</v>
      </c>
      <c r="D33" s="143" t="str">
        <f t="shared" si="3"/>
        <v/>
      </c>
      <c r="E33" s="146" t="str">
        <f t="shared" si="13"/>
        <v/>
      </c>
      <c r="F33" s="146" t="str">
        <f t="shared" si="14"/>
        <v/>
      </c>
      <c r="G33" s="148" t="str">
        <f t="shared" si="15"/>
        <v/>
      </c>
      <c r="H33" s="143" t="str">
        <f t="shared" si="4"/>
        <v/>
      </c>
      <c r="I33" s="146" t="str">
        <f t="shared" si="5"/>
        <v/>
      </c>
      <c r="J33" s="146" t="str">
        <f t="shared" si="6"/>
        <v/>
      </c>
      <c r="K33" s="147" t="str">
        <f t="shared" si="0"/>
        <v/>
      </c>
      <c r="L33" s="143" t="str">
        <f t="shared" si="7"/>
        <v/>
      </c>
      <c r="M33" s="146" t="str">
        <f t="shared" si="8"/>
        <v/>
      </c>
      <c r="N33" s="146" t="str">
        <f t="shared" si="9"/>
        <v/>
      </c>
      <c r="O33" s="147" t="str">
        <f t="shared" si="1"/>
        <v/>
      </c>
      <c r="P33" s="143" t="str">
        <f t="shared" si="10"/>
        <v/>
      </c>
      <c r="Q33" s="146" t="str">
        <f t="shared" si="11"/>
        <v/>
      </c>
      <c r="R33" s="146" t="str">
        <f t="shared" si="12"/>
        <v/>
      </c>
      <c r="S33" s="147" t="str">
        <f t="shared" si="2"/>
        <v/>
      </c>
    </row>
    <row r="34" spans="2:19">
      <c r="B34" s="66" t="str">
        <f>IF(G4="","",TRUNC((G4-B33)*60))</f>
        <v/>
      </c>
      <c r="C34" s="15" t="s">
        <v>111</v>
      </c>
      <c r="D34" s="143" t="str">
        <f t="shared" si="3"/>
        <v/>
      </c>
      <c r="E34" s="146" t="str">
        <f t="shared" si="13"/>
        <v/>
      </c>
      <c r="F34" s="146" t="str">
        <f t="shared" si="14"/>
        <v/>
      </c>
      <c r="G34" s="148" t="str">
        <f t="shared" si="15"/>
        <v/>
      </c>
      <c r="H34" s="143" t="str">
        <f t="shared" si="4"/>
        <v/>
      </c>
      <c r="I34" s="146" t="str">
        <f t="shared" si="5"/>
        <v/>
      </c>
      <c r="J34" s="146" t="str">
        <f t="shared" si="6"/>
        <v/>
      </c>
      <c r="K34" s="147" t="str">
        <f t="shared" si="0"/>
        <v/>
      </c>
      <c r="L34" s="143" t="str">
        <f t="shared" si="7"/>
        <v/>
      </c>
      <c r="M34" s="146" t="str">
        <f t="shared" si="8"/>
        <v/>
      </c>
      <c r="N34" s="146" t="str">
        <f t="shared" si="9"/>
        <v/>
      </c>
      <c r="O34" s="147" t="str">
        <f t="shared" si="1"/>
        <v/>
      </c>
      <c r="P34" s="143" t="str">
        <f t="shared" si="10"/>
        <v/>
      </c>
      <c r="Q34" s="146" t="str">
        <f t="shared" si="11"/>
        <v/>
      </c>
      <c r="R34" s="146" t="str">
        <f t="shared" si="12"/>
        <v/>
      </c>
      <c r="S34" s="147" t="str">
        <f t="shared" si="2"/>
        <v/>
      </c>
    </row>
    <row r="35" spans="2:19">
      <c r="B35" s="66" t="str">
        <f>IF(G4="","",((G4-B33)*60-B34)*60)</f>
        <v/>
      </c>
      <c r="C35" s="15" t="s">
        <v>112</v>
      </c>
      <c r="D35" s="143" t="str">
        <f t="shared" si="3"/>
        <v/>
      </c>
      <c r="E35" s="146" t="str">
        <f t="shared" si="13"/>
        <v/>
      </c>
      <c r="F35" s="146" t="str">
        <f t="shared" si="14"/>
        <v/>
      </c>
      <c r="G35" s="148" t="str">
        <f t="shared" si="15"/>
        <v/>
      </c>
      <c r="H35" s="143" t="str">
        <f t="shared" si="4"/>
        <v/>
      </c>
      <c r="I35" s="146" t="str">
        <f t="shared" si="5"/>
        <v/>
      </c>
      <c r="J35" s="146" t="str">
        <f t="shared" si="6"/>
        <v/>
      </c>
      <c r="K35" s="147" t="str">
        <f t="shared" si="0"/>
        <v/>
      </c>
      <c r="L35" s="143" t="str">
        <f t="shared" si="7"/>
        <v/>
      </c>
      <c r="M35" s="146" t="str">
        <f t="shared" si="8"/>
        <v/>
      </c>
      <c r="N35" s="146" t="str">
        <f t="shared" si="9"/>
        <v/>
      </c>
      <c r="O35" s="147" t="str">
        <f t="shared" si="1"/>
        <v/>
      </c>
      <c r="P35" s="143" t="str">
        <f t="shared" si="10"/>
        <v/>
      </c>
      <c r="Q35" s="146" t="str">
        <f t="shared" si="11"/>
        <v/>
      </c>
      <c r="R35" s="146" t="str">
        <f t="shared" si="12"/>
        <v/>
      </c>
      <c r="S35" s="147" t="str">
        <f t="shared" si="2"/>
        <v/>
      </c>
    </row>
    <row r="36" spans="2:19">
      <c r="B36" s="66"/>
      <c r="C36" s="38"/>
      <c r="D36" s="143" t="str">
        <f t="shared" si="3"/>
        <v/>
      </c>
      <c r="E36" s="146" t="str">
        <f t="shared" si="13"/>
        <v/>
      </c>
      <c r="F36" s="146" t="str">
        <f t="shared" si="14"/>
        <v/>
      </c>
      <c r="G36" s="148" t="str">
        <f t="shared" si="15"/>
        <v/>
      </c>
      <c r="H36" s="143" t="str">
        <f t="shared" si="4"/>
        <v/>
      </c>
      <c r="I36" s="146" t="str">
        <f t="shared" si="5"/>
        <v/>
      </c>
      <c r="J36" s="146" t="str">
        <f t="shared" si="6"/>
        <v/>
      </c>
      <c r="K36" s="147" t="str">
        <f t="shared" ref="K36:K52" si="16">IF(H36="","",K35+$G$4)</f>
        <v/>
      </c>
      <c r="L36" s="143" t="str">
        <f t="shared" si="7"/>
        <v/>
      </c>
      <c r="M36" s="146" t="str">
        <f t="shared" si="8"/>
        <v/>
      </c>
      <c r="N36" s="146" t="str">
        <f t="shared" si="9"/>
        <v/>
      </c>
      <c r="O36" s="147" t="str">
        <f t="shared" si="1"/>
        <v/>
      </c>
      <c r="P36" s="143" t="str">
        <f t="shared" si="10"/>
        <v/>
      </c>
      <c r="Q36" s="146" t="str">
        <f t="shared" si="11"/>
        <v/>
      </c>
      <c r="R36" s="146" t="str">
        <f t="shared" si="12"/>
        <v/>
      </c>
      <c r="S36" s="147" t="str">
        <f t="shared" si="2"/>
        <v/>
      </c>
    </row>
    <row r="37" spans="2:19" ht="15.6">
      <c r="B37" s="376" t="s">
        <v>671</v>
      </c>
      <c r="C37" s="11"/>
      <c r="D37" s="143" t="str">
        <f t="shared" si="3"/>
        <v/>
      </c>
      <c r="E37" s="146" t="str">
        <f t="shared" si="13"/>
        <v/>
      </c>
      <c r="F37" s="146" t="str">
        <f t="shared" si="14"/>
        <v/>
      </c>
      <c r="G37" s="148" t="str">
        <f t="shared" si="15"/>
        <v/>
      </c>
      <c r="H37" s="143" t="str">
        <f t="shared" si="4"/>
        <v/>
      </c>
      <c r="I37" s="146" t="str">
        <f t="shared" si="5"/>
        <v/>
      </c>
      <c r="J37" s="146" t="str">
        <f t="shared" si="6"/>
        <v/>
      </c>
      <c r="K37" s="147" t="str">
        <f t="shared" si="16"/>
        <v/>
      </c>
      <c r="L37" s="143" t="str">
        <f t="shared" si="7"/>
        <v/>
      </c>
      <c r="M37" s="146" t="str">
        <f t="shared" si="8"/>
        <v/>
      </c>
      <c r="N37" s="146" t="str">
        <f t="shared" si="9"/>
        <v/>
      </c>
      <c r="O37" s="147" t="str">
        <f t="shared" si="1"/>
        <v/>
      </c>
      <c r="P37" s="143" t="str">
        <f t="shared" si="10"/>
        <v/>
      </c>
      <c r="Q37" s="146" t="str">
        <f t="shared" si="11"/>
        <v/>
      </c>
      <c r="R37" s="146" t="str">
        <f t="shared" si="12"/>
        <v/>
      </c>
      <c r="S37" s="147" t="str">
        <f t="shared" si="2"/>
        <v/>
      </c>
    </row>
    <row r="38" spans="2:19">
      <c r="B38" s="388" t="str">
        <f>IF(C9="","",IF(C9&gt;0,"Clockwise    &gt;","&lt;    Counter Clockwise"))</f>
        <v/>
      </c>
      <c r="C38" s="11"/>
      <c r="D38" s="143" t="str">
        <f t="shared" si="3"/>
        <v/>
      </c>
      <c r="E38" s="146" t="str">
        <f t="shared" si="13"/>
        <v/>
      </c>
      <c r="F38" s="146" t="str">
        <f t="shared" si="14"/>
        <v/>
      </c>
      <c r="G38" s="148" t="str">
        <f t="shared" si="15"/>
        <v/>
      </c>
      <c r="H38" s="143" t="str">
        <f t="shared" si="4"/>
        <v/>
      </c>
      <c r="I38" s="146" t="str">
        <f t="shared" si="5"/>
        <v/>
      </c>
      <c r="J38" s="146" t="str">
        <f t="shared" si="6"/>
        <v/>
      </c>
      <c r="K38" s="147" t="str">
        <f t="shared" si="16"/>
        <v/>
      </c>
      <c r="L38" s="143" t="str">
        <f t="shared" si="7"/>
        <v/>
      </c>
      <c r="M38" s="146" t="str">
        <f t="shared" si="8"/>
        <v/>
      </c>
      <c r="N38" s="146" t="str">
        <f t="shared" si="9"/>
        <v/>
      </c>
      <c r="O38" s="147" t="str">
        <f t="shared" si="1"/>
        <v/>
      </c>
      <c r="P38" s="143" t="str">
        <f t="shared" si="10"/>
        <v/>
      </c>
      <c r="Q38" s="146" t="str">
        <f t="shared" si="11"/>
        <v/>
      </c>
      <c r="R38" s="146" t="str">
        <f t="shared" si="12"/>
        <v/>
      </c>
      <c r="S38" s="147" t="str">
        <f t="shared" si="2"/>
        <v/>
      </c>
    </row>
    <row r="39" spans="2:19">
      <c r="B39" s="66"/>
      <c r="C39" s="38"/>
      <c r="D39" s="143" t="str">
        <f t="shared" si="3"/>
        <v/>
      </c>
      <c r="E39" s="146" t="str">
        <f t="shared" si="13"/>
        <v/>
      </c>
      <c r="F39" s="146" t="str">
        <f t="shared" si="14"/>
        <v/>
      </c>
      <c r="G39" s="148" t="str">
        <f t="shared" si="15"/>
        <v/>
      </c>
      <c r="H39" s="143" t="str">
        <f t="shared" si="4"/>
        <v/>
      </c>
      <c r="I39" s="146" t="str">
        <f t="shared" si="5"/>
        <v/>
      </c>
      <c r="J39" s="146" t="str">
        <f t="shared" si="6"/>
        <v/>
      </c>
      <c r="K39" s="147" t="str">
        <f t="shared" si="16"/>
        <v/>
      </c>
      <c r="L39" s="143" t="str">
        <f t="shared" si="7"/>
        <v/>
      </c>
      <c r="M39" s="146" t="str">
        <f t="shared" si="8"/>
        <v/>
      </c>
      <c r="N39" s="146" t="str">
        <f t="shared" si="9"/>
        <v/>
      </c>
      <c r="O39" s="147" t="str">
        <f t="shared" si="1"/>
        <v/>
      </c>
      <c r="P39" s="143" t="str">
        <f t="shared" si="10"/>
        <v/>
      </c>
      <c r="Q39" s="146" t="str">
        <f t="shared" si="11"/>
        <v/>
      </c>
      <c r="R39" s="146" t="str">
        <f t="shared" si="12"/>
        <v/>
      </c>
      <c r="S39" s="147" t="str">
        <f t="shared" si="2"/>
        <v/>
      </c>
    </row>
    <row r="40" spans="2:19" ht="15.6">
      <c r="B40" s="376" t="s">
        <v>672</v>
      </c>
      <c r="C40" s="11"/>
      <c r="D40" s="143" t="str">
        <f t="shared" si="3"/>
        <v/>
      </c>
      <c r="E40" s="146" t="str">
        <f t="shared" si="13"/>
        <v/>
      </c>
      <c r="F40" s="146" t="str">
        <f t="shared" si="14"/>
        <v/>
      </c>
      <c r="G40" s="148" t="str">
        <f t="shared" si="15"/>
        <v/>
      </c>
      <c r="H40" s="143" t="str">
        <f t="shared" si="4"/>
        <v/>
      </c>
      <c r="I40" s="146" t="str">
        <f t="shared" si="5"/>
        <v/>
      </c>
      <c r="J40" s="146" t="str">
        <f t="shared" si="6"/>
        <v/>
      </c>
      <c r="K40" s="147" t="str">
        <f t="shared" si="16"/>
        <v/>
      </c>
      <c r="L40" s="143" t="str">
        <f t="shared" si="7"/>
        <v/>
      </c>
      <c r="M40" s="146" t="str">
        <f t="shared" si="8"/>
        <v/>
      </c>
      <c r="N40" s="146" t="str">
        <f t="shared" si="9"/>
        <v/>
      </c>
      <c r="O40" s="147" t="str">
        <f t="shared" si="1"/>
        <v/>
      </c>
      <c r="P40" s="143" t="str">
        <f t="shared" si="10"/>
        <v/>
      </c>
      <c r="Q40" s="146" t="str">
        <f t="shared" si="11"/>
        <v/>
      </c>
      <c r="R40" s="146" t="str">
        <f t="shared" si="12"/>
        <v/>
      </c>
      <c r="S40" s="147" t="str">
        <f t="shared" si="2"/>
        <v/>
      </c>
    </row>
    <row r="41" spans="2:19">
      <c r="B41" s="61" t="str">
        <f>IF(C12+C13="","None",IF(C12+C13&gt;0,"Outward","Inward"))</f>
        <v>None</v>
      </c>
      <c r="C41" s="11"/>
      <c r="D41" s="143" t="str">
        <f t="shared" si="3"/>
        <v/>
      </c>
      <c r="E41" s="146" t="str">
        <f t="shared" si="13"/>
        <v/>
      </c>
      <c r="F41" s="146" t="str">
        <f t="shared" si="14"/>
        <v/>
      </c>
      <c r="G41" s="148" t="str">
        <f t="shared" si="15"/>
        <v/>
      </c>
      <c r="H41" s="143" t="str">
        <f t="shared" si="4"/>
        <v/>
      </c>
      <c r="I41" s="146" t="str">
        <f t="shared" si="5"/>
        <v/>
      </c>
      <c r="J41" s="146" t="str">
        <f t="shared" si="6"/>
        <v/>
      </c>
      <c r="K41" s="147" t="str">
        <f t="shared" si="16"/>
        <v/>
      </c>
      <c r="L41" s="143" t="str">
        <f t="shared" si="7"/>
        <v/>
      </c>
      <c r="M41" s="146" t="str">
        <f t="shared" si="8"/>
        <v/>
      </c>
      <c r="N41" s="146" t="str">
        <f t="shared" si="9"/>
        <v/>
      </c>
      <c r="O41" s="147" t="str">
        <f t="shared" si="1"/>
        <v/>
      </c>
      <c r="P41" s="143" t="str">
        <f t="shared" si="10"/>
        <v/>
      </c>
      <c r="Q41" s="146" t="str">
        <f t="shared" si="11"/>
        <v/>
      </c>
      <c r="R41" s="146" t="str">
        <f t="shared" si="12"/>
        <v/>
      </c>
      <c r="S41" s="147" t="str">
        <f t="shared" si="2"/>
        <v/>
      </c>
    </row>
    <row r="42" spans="2:19">
      <c r="B42" s="66"/>
      <c r="C42" s="11"/>
      <c r="D42" s="143" t="str">
        <f t="shared" si="3"/>
        <v/>
      </c>
      <c r="E42" s="146" t="str">
        <f t="shared" si="13"/>
        <v/>
      </c>
      <c r="F42" s="146" t="str">
        <f t="shared" si="14"/>
        <v/>
      </c>
      <c r="G42" s="148" t="str">
        <f t="shared" si="15"/>
        <v/>
      </c>
      <c r="H42" s="143" t="str">
        <f t="shared" si="4"/>
        <v/>
      </c>
      <c r="I42" s="146" t="str">
        <f t="shared" si="5"/>
        <v/>
      </c>
      <c r="J42" s="146" t="str">
        <f t="shared" si="6"/>
        <v/>
      </c>
      <c r="K42" s="147" t="str">
        <f t="shared" si="16"/>
        <v/>
      </c>
      <c r="L42" s="143" t="str">
        <f t="shared" si="7"/>
        <v/>
      </c>
      <c r="M42" s="146" t="str">
        <f t="shared" si="8"/>
        <v/>
      </c>
      <c r="N42" s="146" t="str">
        <f t="shared" si="9"/>
        <v/>
      </c>
      <c r="O42" s="147" t="str">
        <f t="shared" si="1"/>
        <v/>
      </c>
      <c r="P42" s="143" t="str">
        <f t="shared" si="10"/>
        <v/>
      </c>
      <c r="Q42" s="146" t="str">
        <f t="shared" si="11"/>
        <v/>
      </c>
      <c r="R42" s="146" t="str">
        <f t="shared" si="12"/>
        <v/>
      </c>
      <c r="S42" s="147" t="str">
        <f t="shared" si="2"/>
        <v/>
      </c>
    </row>
    <row r="43" spans="2:19">
      <c r="B43" s="66"/>
      <c r="C43" s="38"/>
      <c r="D43" s="143" t="str">
        <f t="shared" si="3"/>
        <v/>
      </c>
      <c r="E43" s="146" t="str">
        <f t="shared" si="13"/>
        <v/>
      </c>
      <c r="F43" s="146" t="str">
        <f t="shared" si="14"/>
        <v/>
      </c>
      <c r="G43" s="148" t="str">
        <f t="shared" si="15"/>
        <v/>
      </c>
      <c r="H43" s="143" t="str">
        <f t="shared" si="4"/>
        <v/>
      </c>
      <c r="I43" s="146" t="str">
        <f t="shared" si="5"/>
        <v/>
      </c>
      <c r="J43" s="146" t="str">
        <f t="shared" si="6"/>
        <v/>
      </c>
      <c r="K43" s="147" t="str">
        <f t="shared" si="16"/>
        <v/>
      </c>
      <c r="L43" s="143" t="str">
        <f t="shared" si="7"/>
        <v/>
      </c>
      <c r="M43" s="146" t="str">
        <f t="shared" si="8"/>
        <v/>
      </c>
      <c r="N43" s="146" t="str">
        <f t="shared" si="9"/>
        <v/>
      </c>
      <c r="O43" s="147" t="str">
        <f t="shared" si="1"/>
        <v/>
      </c>
      <c r="P43" s="143" t="str">
        <f t="shared" si="10"/>
        <v/>
      </c>
      <c r="Q43" s="146" t="str">
        <f t="shared" si="11"/>
        <v/>
      </c>
      <c r="R43" s="146" t="str">
        <f t="shared" si="12"/>
        <v/>
      </c>
      <c r="S43" s="147" t="str">
        <f t="shared" si="2"/>
        <v/>
      </c>
    </row>
    <row r="44" spans="2:19">
      <c r="B44" s="66"/>
      <c r="C44" s="38"/>
      <c r="D44" s="143" t="str">
        <f t="shared" si="3"/>
        <v/>
      </c>
      <c r="E44" s="146" t="str">
        <f t="shared" si="13"/>
        <v/>
      </c>
      <c r="F44" s="146" t="str">
        <f t="shared" si="14"/>
        <v/>
      </c>
      <c r="G44" s="148" t="str">
        <f t="shared" si="15"/>
        <v/>
      </c>
      <c r="H44" s="143" t="str">
        <f t="shared" si="4"/>
        <v/>
      </c>
      <c r="I44" s="146" t="str">
        <f t="shared" si="5"/>
        <v/>
      </c>
      <c r="J44" s="146" t="str">
        <f t="shared" si="6"/>
        <v/>
      </c>
      <c r="K44" s="147" t="str">
        <f t="shared" si="16"/>
        <v/>
      </c>
      <c r="L44" s="143" t="str">
        <f t="shared" si="7"/>
        <v/>
      </c>
      <c r="M44" s="146" t="str">
        <f t="shared" si="8"/>
        <v/>
      </c>
      <c r="N44" s="146" t="str">
        <f t="shared" si="9"/>
        <v/>
      </c>
      <c r="O44" s="147" t="str">
        <f t="shared" si="1"/>
        <v/>
      </c>
      <c r="P44" s="143" t="str">
        <f t="shared" si="10"/>
        <v/>
      </c>
      <c r="Q44" s="146" t="str">
        <f t="shared" si="11"/>
        <v/>
      </c>
      <c r="R44" s="146" t="str">
        <f t="shared" si="12"/>
        <v/>
      </c>
      <c r="S44" s="147" t="str">
        <f t="shared" si="2"/>
        <v/>
      </c>
    </row>
    <row r="45" spans="2:19">
      <c r="B45" s="66"/>
      <c r="C45" s="38"/>
      <c r="D45" s="143" t="str">
        <f t="shared" si="3"/>
        <v/>
      </c>
      <c r="E45" s="146" t="str">
        <f t="shared" si="13"/>
        <v/>
      </c>
      <c r="F45" s="146" t="str">
        <f t="shared" si="14"/>
        <v/>
      </c>
      <c r="G45" s="148" t="str">
        <f t="shared" si="15"/>
        <v/>
      </c>
      <c r="H45" s="143" t="str">
        <f t="shared" si="4"/>
        <v/>
      </c>
      <c r="I45" s="146" t="str">
        <f t="shared" si="5"/>
        <v/>
      </c>
      <c r="J45" s="146" t="str">
        <f t="shared" si="6"/>
        <v/>
      </c>
      <c r="K45" s="147" t="str">
        <f t="shared" si="16"/>
        <v/>
      </c>
      <c r="L45" s="143" t="str">
        <f t="shared" si="7"/>
        <v/>
      </c>
      <c r="M45" s="146" t="str">
        <f t="shared" si="8"/>
        <v/>
      </c>
      <c r="N45" s="146" t="str">
        <f t="shared" si="9"/>
        <v/>
      </c>
      <c r="O45" s="147" t="str">
        <f t="shared" si="1"/>
        <v/>
      </c>
      <c r="P45" s="143" t="str">
        <f t="shared" si="10"/>
        <v/>
      </c>
      <c r="Q45" s="146" t="str">
        <f t="shared" si="11"/>
        <v/>
      </c>
      <c r="R45" s="146" t="str">
        <f t="shared" si="12"/>
        <v/>
      </c>
      <c r="S45" s="147" t="str">
        <f t="shared" si="2"/>
        <v/>
      </c>
    </row>
    <row r="46" spans="2:19">
      <c r="B46" s="66" t="s">
        <v>987</v>
      </c>
      <c r="C46" s="386" t="s">
        <v>668</v>
      </c>
      <c r="D46" s="143" t="str">
        <f t="shared" si="3"/>
        <v/>
      </c>
      <c r="E46" s="146" t="str">
        <f t="shared" si="13"/>
        <v/>
      </c>
      <c r="F46" s="146" t="str">
        <f t="shared" si="14"/>
        <v/>
      </c>
      <c r="G46" s="148" t="str">
        <f t="shared" si="15"/>
        <v/>
      </c>
      <c r="H46" s="143" t="str">
        <f t="shared" si="4"/>
        <v/>
      </c>
      <c r="I46" s="146" t="str">
        <f t="shared" si="5"/>
        <v/>
      </c>
      <c r="J46" s="146" t="str">
        <f t="shared" si="6"/>
        <v/>
      </c>
      <c r="K46" s="147" t="str">
        <f t="shared" si="16"/>
        <v/>
      </c>
      <c r="L46" s="143" t="str">
        <f t="shared" si="7"/>
        <v/>
      </c>
      <c r="M46" s="146" t="str">
        <f t="shared" si="8"/>
        <v/>
      </c>
      <c r="N46" s="146" t="str">
        <f t="shared" si="9"/>
        <v/>
      </c>
      <c r="O46" s="147" t="str">
        <f t="shared" si="1"/>
        <v/>
      </c>
      <c r="P46" s="143" t="str">
        <f t="shared" si="10"/>
        <v/>
      </c>
      <c r="Q46" s="146" t="str">
        <f t="shared" si="11"/>
        <v/>
      </c>
      <c r="R46" s="146" t="str">
        <f t="shared" si="12"/>
        <v/>
      </c>
      <c r="S46" s="147" t="str">
        <f t="shared" si="2"/>
        <v/>
      </c>
    </row>
    <row r="47" spans="2:19">
      <c r="B47" s="66" t="s">
        <v>991</v>
      </c>
      <c r="C47" s="386" t="s">
        <v>669</v>
      </c>
      <c r="D47" s="143" t="str">
        <f t="shared" si="3"/>
        <v/>
      </c>
      <c r="E47" s="146" t="str">
        <f t="shared" si="13"/>
        <v/>
      </c>
      <c r="F47" s="146" t="str">
        <f t="shared" si="14"/>
        <v/>
      </c>
      <c r="G47" s="148" t="str">
        <f t="shared" si="15"/>
        <v/>
      </c>
      <c r="H47" s="143" t="str">
        <f t="shared" si="4"/>
        <v/>
      </c>
      <c r="I47" s="146" t="str">
        <f t="shared" si="5"/>
        <v/>
      </c>
      <c r="J47" s="146" t="str">
        <f t="shared" si="6"/>
        <v/>
      </c>
      <c r="K47" s="147" t="str">
        <f t="shared" si="16"/>
        <v/>
      </c>
      <c r="L47" s="143" t="str">
        <f t="shared" si="7"/>
        <v/>
      </c>
      <c r="M47" s="146" t="str">
        <f t="shared" si="8"/>
        <v/>
      </c>
      <c r="N47" s="146" t="str">
        <f t="shared" si="9"/>
        <v/>
      </c>
      <c r="O47" s="147" t="str">
        <f t="shared" si="1"/>
        <v/>
      </c>
      <c r="P47" s="143" t="str">
        <f t="shared" si="10"/>
        <v/>
      </c>
      <c r="Q47" s="146" t="str">
        <f t="shared" si="11"/>
        <v/>
      </c>
      <c r="R47" s="146" t="str">
        <f t="shared" si="12"/>
        <v/>
      </c>
      <c r="S47" s="147" t="str">
        <f t="shared" si="2"/>
        <v/>
      </c>
    </row>
    <row r="48" spans="2:19">
      <c r="B48" s="66" t="s">
        <v>987</v>
      </c>
      <c r="C48" s="15" t="s">
        <v>668</v>
      </c>
      <c r="D48" s="143" t="str">
        <f t="shared" si="3"/>
        <v/>
      </c>
      <c r="E48" s="146" t="str">
        <f t="shared" si="13"/>
        <v/>
      </c>
      <c r="F48" s="146" t="str">
        <f t="shared" si="14"/>
        <v/>
      </c>
      <c r="G48" s="148" t="str">
        <f t="shared" si="15"/>
        <v/>
      </c>
      <c r="H48" s="143" t="str">
        <f t="shared" si="4"/>
        <v/>
      </c>
      <c r="I48" s="146" t="str">
        <f t="shared" si="5"/>
        <v/>
      </c>
      <c r="J48" s="146" t="str">
        <f t="shared" si="6"/>
        <v/>
      </c>
      <c r="K48" s="147" t="str">
        <f t="shared" si="16"/>
        <v/>
      </c>
      <c r="L48" s="143" t="str">
        <f t="shared" si="7"/>
        <v/>
      </c>
      <c r="M48" s="146" t="str">
        <f t="shared" si="8"/>
        <v/>
      </c>
      <c r="N48" s="146" t="str">
        <f t="shared" si="9"/>
        <v/>
      </c>
      <c r="O48" s="147" t="str">
        <f t="shared" si="1"/>
        <v/>
      </c>
      <c r="P48" s="143" t="str">
        <f t="shared" si="10"/>
        <v/>
      </c>
      <c r="Q48" s="146" t="str">
        <f t="shared" si="11"/>
        <v/>
      </c>
      <c r="R48" s="146" t="str">
        <f t="shared" si="12"/>
        <v/>
      </c>
      <c r="S48" s="147" t="str">
        <f t="shared" si="2"/>
        <v/>
      </c>
    </row>
    <row r="49" spans="2:19">
      <c r="B49" s="66" t="s">
        <v>1001</v>
      </c>
      <c r="C49" s="15" t="s">
        <v>670</v>
      </c>
      <c r="D49" s="143" t="str">
        <f t="shared" si="3"/>
        <v/>
      </c>
      <c r="E49" s="146" t="str">
        <f t="shared" si="13"/>
        <v/>
      </c>
      <c r="F49" s="146" t="str">
        <f t="shared" si="14"/>
        <v/>
      </c>
      <c r="G49" s="148" t="str">
        <f t="shared" si="15"/>
        <v/>
      </c>
      <c r="H49" s="143" t="str">
        <f t="shared" si="4"/>
        <v/>
      </c>
      <c r="I49" s="146" t="str">
        <f t="shared" si="5"/>
        <v/>
      </c>
      <c r="J49" s="146" t="str">
        <f t="shared" si="6"/>
        <v/>
      </c>
      <c r="K49" s="147" t="str">
        <f t="shared" si="16"/>
        <v/>
      </c>
      <c r="L49" s="143" t="str">
        <f t="shared" si="7"/>
        <v/>
      </c>
      <c r="M49" s="146" t="str">
        <f t="shared" si="8"/>
        <v/>
      </c>
      <c r="N49" s="146" t="str">
        <f t="shared" si="9"/>
        <v/>
      </c>
      <c r="O49" s="147" t="str">
        <f t="shared" si="1"/>
        <v/>
      </c>
      <c r="P49" s="143" t="str">
        <f t="shared" si="10"/>
        <v/>
      </c>
      <c r="Q49" s="146" t="str">
        <f t="shared" si="11"/>
        <v/>
      </c>
      <c r="R49" s="146" t="str">
        <f t="shared" si="12"/>
        <v/>
      </c>
      <c r="S49" s="147" t="str">
        <f t="shared" si="2"/>
        <v/>
      </c>
    </row>
    <row r="50" spans="2:19">
      <c r="B50" s="66"/>
      <c r="C50" s="38"/>
      <c r="D50" s="143" t="str">
        <f t="shared" si="3"/>
        <v/>
      </c>
      <c r="E50" s="146" t="str">
        <f t="shared" si="13"/>
        <v/>
      </c>
      <c r="F50" s="146" t="str">
        <f t="shared" si="14"/>
        <v/>
      </c>
      <c r="G50" s="148" t="str">
        <f t="shared" si="15"/>
        <v/>
      </c>
      <c r="H50" s="143" t="str">
        <f t="shared" si="4"/>
        <v/>
      </c>
      <c r="I50" s="146" t="str">
        <f t="shared" si="5"/>
        <v/>
      </c>
      <c r="J50" s="146" t="str">
        <f t="shared" si="6"/>
        <v/>
      </c>
      <c r="K50" s="147" t="str">
        <f t="shared" si="16"/>
        <v/>
      </c>
      <c r="L50" s="143" t="str">
        <f t="shared" si="7"/>
        <v/>
      </c>
      <c r="M50" s="146" t="str">
        <f t="shared" si="8"/>
        <v/>
      </c>
      <c r="N50" s="146" t="str">
        <f t="shared" si="9"/>
        <v/>
      </c>
      <c r="O50" s="147" t="str">
        <f t="shared" si="1"/>
        <v/>
      </c>
      <c r="P50" s="143" t="str">
        <f t="shared" si="10"/>
        <v/>
      </c>
      <c r="Q50" s="146" t="str">
        <f t="shared" si="11"/>
        <v/>
      </c>
      <c r="R50" s="146" t="str">
        <f t="shared" si="12"/>
        <v/>
      </c>
      <c r="S50" s="147" t="str">
        <f t="shared" si="2"/>
        <v/>
      </c>
    </row>
    <row r="51" spans="2:19">
      <c r="B51" s="66"/>
      <c r="C51" s="38"/>
      <c r="D51" s="143" t="str">
        <f t="shared" si="3"/>
        <v/>
      </c>
      <c r="E51" s="146" t="str">
        <f t="shared" si="13"/>
        <v/>
      </c>
      <c r="F51" s="146" t="str">
        <f t="shared" si="14"/>
        <v/>
      </c>
      <c r="G51" s="148" t="str">
        <f t="shared" si="15"/>
        <v/>
      </c>
      <c r="H51" s="143" t="str">
        <f t="shared" si="4"/>
        <v/>
      </c>
      <c r="I51" s="146" t="str">
        <f t="shared" si="5"/>
        <v/>
      </c>
      <c r="J51" s="146" t="str">
        <f t="shared" si="6"/>
        <v/>
      </c>
      <c r="K51" s="147" t="str">
        <f t="shared" si="16"/>
        <v/>
      </c>
      <c r="L51" s="143" t="str">
        <f t="shared" si="7"/>
        <v/>
      </c>
      <c r="M51" s="146" t="str">
        <f t="shared" si="8"/>
        <v/>
      </c>
      <c r="N51" s="146" t="str">
        <f t="shared" si="9"/>
        <v/>
      </c>
      <c r="O51" s="147" t="str">
        <f t="shared" si="1"/>
        <v/>
      </c>
      <c r="P51" s="143" t="str">
        <f t="shared" si="10"/>
        <v/>
      </c>
      <c r="Q51" s="146" t="str">
        <f t="shared" si="11"/>
        <v/>
      </c>
      <c r="R51" s="146" t="str">
        <f t="shared" si="12"/>
        <v/>
      </c>
      <c r="S51" s="147" t="str">
        <f t="shared" si="2"/>
        <v/>
      </c>
    </row>
    <row r="52" spans="2:19">
      <c r="B52" s="66"/>
      <c r="C52" s="382"/>
      <c r="D52" s="143" t="str">
        <f t="shared" si="3"/>
        <v/>
      </c>
      <c r="E52" s="146" t="str">
        <f t="shared" si="13"/>
        <v/>
      </c>
      <c r="F52" s="146" t="str">
        <f t="shared" si="14"/>
        <v/>
      </c>
      <c r="G52" s="148" t="str">
        <f t="shared" si="15"/>
        <v/>
      </c>
      <c r="H52" s="143" t="str">
        <f t="shared" si="4"/>
        <v/>
      </c>
      <c r="I52" s="146" t="str">
        <f t="shared" si="5"/>
        <v/>
      </c>
      <c r="J52" s="146" t="str">
        <f t="shared" si="6"/>
        <v/>
      </c>
      <c r="K52" s="147" t="str">
        <f t="shared" si="16"/>
        <v/>
      </c>
      <c r="L52" s="143" t="str">
        <f t="shared" si="7"/>
        <v/>
      </c>
      <c r="M52" s="146" t="str">
        <f t="shared" si="8"/>
        <v/>
      </c>
      <c r="N52" s="146" t="str">
        <f t="shared" si="9"/>
        <v/>
      </c>
      <c r="O52" s="147" t="str">
        <f t="shared" si="1"/>
        <v/>
      </c>
      <c r="P52" s="143" t="str">
        <f t="shared" si="10"/>
        <v/>
      </c>
      <c r="Q52" s="146" t="str">
        <f t="shared" si="11"/>
        <v/>
      </c>
      <c r="R52" s="146" t="str">
        <f t="shared" si="12"/>
        <v/>
      </c>
      <c r="S52" s="147" t="str">
        <f t="shared" si="2"/>
        <v/>
      </c>
    </row>
    <row r="53" spans="2:19" ht="15.6" thickBot="1">
      <c r="B53" s="67"/>
      <c r="C53" s="387"/>
      <c r="D53" s="149" t="str">
        <f t="shared" si="3"/>
        <v/>
      </c>
      <c r="E53" s="150" t="str">
        <f t="shared" si="13"/>
        <v/>
      </c>
      <c r="F53" s="150" t="str">
        <f t="shared" si="14"/>
        <v/>
      </c>
      <c r="G53" s="151" t="str">
        <f>IF(D53="","",G52+$G$4)</f>
        <v/>
      </c>
      <c r="H53" s="149" t="str">
        <f t="shared" si="4"/>
        <v/>
      </c>
      <c r="I53" s="150" t="str">
        <f t="shared" si="5"/>
        <v/>
      </c>
      <c r="J53" s="150" t="str">
        <f t="shared" si="6"/>
        <v/>
      </c>
      <c r="K53" s="152" t="str">
        <f>IF(H53="","",K52+$G$4)</f>
        <v/>
      </c>
      <c r="L53" s="149" t="str">
        <f t="shared" si="7"/>
        <v/>
      </c>
      <c r="M53" s="150" t="str">
        <f t="shared" si="8"/>
        <v/>
      </c>
      <c r="N53" s="150" t="str">
        <f t="shared" si="9"/>
        <v/>
      </c>
      <c r="O53" s="152" t="str">
        <f>IF(L53="","",O52+$G$4)</f>
        <v/>
      </c>
      <c r="P53" s="149" t="str">
        <f t="shared" si="10"/>
        <v/>
      </c>
      <c r="Q53" s="150" t="str">
        <f t="shared" si="11"/>
        <v/>
      </c>
      <c r="R53" s="150" t="str">
        <f t="shared" si="12"/>
        <v/>
      </c>
      <c r="S53" s="152" t="str">
        <f>IF(P53="","",S52+$G$4)</f>
        <v/>
      </c>
    </row>
  </sheetData>
  <sheetProtection sheet="1" objects="1" scenarios="1"/>
  <phoneticPr fontId="0" type="noConversion"/>
  <conditionalFormatting sqref="C12">
    <cfRule type="expression" dxfId="2" priority="1" stopIfTrue="1">
      <formula>$C$13&lt;&gt;""</formula>
    </cfRule>
  </conditionalFormatting>
  <conditionalFormatting sqref="C13">
    <cfRule type="expression" dxfId="1" priority="2" stopIfTrue="1">
      <formula>$C$12&lt;&gt;""</formula>
    </cfRule>
  </conditionalFormatting>
  <conditionalFormatting sqref="C53">
    <cfRule type="expression" dxfId="0" priority="3" stopIfTrue="1">
      <formula>$C$13&gt;""</formula>
    </cfRule>
  </conditionalFormatting>
  <dataValidations count="2">
    <dataValidation type="custom" allowBlank="1" showInputMessage="1" showErrorMessage="1" errorTitle="Warning!!" error="The contents in the cell above must be empty before information can be entered in this cell." sqref="C13" xr:uid="{00000000-0002-0000-0E00-000000000000}">
      <formula1>IF(C12&lt;&gt;"","",)</formula1>
    </dataValidation>
    <dataValidation type="custom" allowBlank="1" showInputMessage="1" showErrorMessage="1" errorTitle="Warning!!" error="The contents in the cell below must be empty before information can be entered in this cell." sqref="C12" xr:uid="{00000000-0002-0000-0E00-000001000000}">
      <formula1>IF(C13&lt;&gt;"","",)</formula1>
    </dataValidation>
  </dataValidations>
  <printOptions horizontalCentered="1" verticalCentered="1" gridLinesSet="0"/>
  <pageMargins left="0.5" right="0.5" top="0.3" bottom="0.3" header="0.25" footer="0.25"/>
  <pageSetup scale="68" pageOrder="overThenDown" orientation="landscape" blackAndWhite="1" horizontalDpi="180" verticalDpi="18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codeName="Sheet14">
    <tabColor indexed="11"/>
    <pageSetUpPr fitToPage="1"/>
  </sheetPr>
  <dimension ref="B1:J25"/>
  <sheetViews>
    <sheetView showGridLines="0" showRowColHeaders="0" zoomScale="75" workbookViewId="0">
      <selection activeCell="E4" sqref="E4"/>
    </sheetView>
  </sheetViews>
  <sheetFormatPr defaultColWidth="9.81640625" defaultRowHeight="15"/>
  <cols>
    <col min="1" max="1" width="2.81640625" customWidth="1"/>
    <col min="2" max="2" width="16.81640625" customWidth="1"/>
    <col min="3" max="3" width="4.81640625" customWidth="1"/>
    <col min="4" max="4" width="9.81640625" customWidth="1"/>
    <col min="5" max="5" width="10.81640625" customWidth="1"/>
    <col min="6" max="6" width="8.36328125" customWidth="1"/>
    <col min="7" max="7" width="9.81640625" customWidth="1"/>
    <col min="8" max="8" width="5.36328125" customWidth="1"/>
    <col min="9" max="10" width="10.81640625" customWidth="1"/>
  </cols>
  <sheetData>
    <row r="1" spans="2:10" ht="23.4" thickTop="1">
      <c r="B1" s="7" t="s">
        <v>972</v>
      </c>
      <c r="C1" s="25"/>
      <c r="D1" s="25"/>
      <c r="E1" s="25"/>
      <c r="F1" s="25"/>
      <c r="G1" s="25"/>
      <c r="H1" s="25"/>
      <c r="I1" s="25"/>
      <c r="J1" s="26"/>
    </row>
    <row r="2" spans="2:10" ht="15.6">
      <c r="B2" s="10" t="s">
        <v>973</v>
      </c>
      <c r="C2" s="12"/>
      <c r="D2" s="11"/>
      <c r="E2" s="11"/>
      <c r="F2" s="11"/>
      <c r="G2" s="11"/>
      <c r="H2" s="11"/>
      <c r="I2" s="11"/>
      <c r="J2" s="13"/>
    </row>
    <row r="3" spans="2:10" ht="9.9" customHeight="1">
      <c r="B3" s="49"/>
      <c r="C3" s="11"/>
      <c r="D3" s="11"/>
      <c r="E3" s="11"/>
      <c r="F3" s="11"/>
      <c r="G3" s="11"/>
      <c r="H3" s="11"/>
      <c r="I3" s="11"/>
      <c r="J3" s="13"/>
    </row>
    <row r="4" spans="2:10">
      <c r="B4" s="29"/>
      <c r="C4" s="18"/>
      <c r="D4" s="38" t="s">
        <v>974</v>
      </c>
      <c r="E4" s="2"/>
      <c r="F4" s="18"/>
      <c r="G4" s="136" t="s">
        <v>90</v>
      </c>
      <c r="H4" s="136" t="s">
        <v>975</v>
      </c>
      <c r="I4" s="136" t="s">
        <v>976</v>
      </c>
      <c r="J4" s="137" t="s">
        <v>977</v>
      </c>
    </row>
    <row r="5" spans="2:10">
      <c r="B5" s="29"/>
      <c r="C5" s="18"/>
      <c r="D5" s="38" t="s">
        <v>978</v>
      </c>
      <c r="E5" s="2"/>
      <c r="F5" s="18"/>
      <c r="G5" s="50" t="str">
        <f>IF(H5="","",$E$6*H5)</f>
        <v/>
      </c>
      <c r="H5" s="50" t="str">
        <f>IF(E6="","",1)</f>
        <v/>
      </c>
      <c r="I5" s="80" t="str">
        <f t="shared" ref="I5:I19" si="0">IF(H5="","",((COS(($E$6*H5)/180*PI())*$E$4)+(SIN(($E$6*H5)/180*PI())*$E$5))+$E$8)</f>
        <v/>
      </c>
      <c r="J5" s="138" t="str">
        <f t="shared" ref="J5:J19" si="1">IF(H5="","",((COS(($E$6*H5)/180*PI())*$E$5)-(SIN(($E$6*H5)/180*PI())*$E$4))+$E$9)</f>
        <v/>
      </c>
    </row>
    <row r="6" spans="2:10">
      <c r="B6" s="29"/>
      <c r="C6" s="18"/>
      <c r="D6" s="38" t="s">
        <v>979</v>
      </c>
      <c r="E6" s="3"/>
      <c r="F6" s="50"/>
      <c r="G6" s="50" t="str">
        <f t="shared" ref="G6:G19" si="2">IF(H6="","",$E$6*H6)</f>
        <v/>
      </c>
      <c r="H6" s="50" t="str">
        <f t="shared" ref="H6:H19" si="3">IF(H5=ABS($E$7),"",IF(H5="","",H5+1))</f>
        <v/>
      </c>
      <c r="I6" s="80" t="str">
        <f t="shared" si="0"/>
        <v/>
      </c>
      <c r="J6" s="138" t="str">
        <f t="shared" si="1"/>
        <v/>
      </c>
    </row>
    <row r="7" spans="2:10">
      <c r="B7" s="29"/>
      <c r="C7" s="18"/>
      <c r="D7" s="38" t="s">
        <v>980</v>
      </c>
      <c r="E7" s="3">
        <v>1</v>
      </c>
      <c r="F7" s="50" t="s">
        <v>981</v>
      </c>
      <c r="G7" s="50" t="str">
        <f t="shared" si="2"/>
        <v/>
      </c>
      <c r="H7" s="50" t="str">
        <f t="shared" si="3"/>
        <v/>
      </c>
      <c r="I7" s="80" t="str">
        <f t="shared" si="0"/>
        <v/>
      </c>
      <c r="J7" s="138" t="str">
        <f t="shared" si="1"/>
        <v/>
      </c>
    </row>
    <row r="8" spans="2:10">
      <c r="B8" s="29"/>
      <c r="C8" s="18"/>
      <c r="D8" s="38" t="s">
        <v>982</v>
      </c>
      <c r="E8" s="2">
        <v>0</v>
      </c>
      <c r="F8" s="18"/>
      <c r="G8" s="50" t="str">
        <f t="shared" si="2"/>
        <v/>
      </c>
      <c r="H8" s="50" t="str">
        <f t="shared" si="3"/>
        <v/>
      </c>
      <c r="I8" s="80" t="str">
        <f t="shared" si="0"/>
        <v/>
      </c>
      <c r="J8" s="138" t="str">
        <f t="shared" si="1"/>
        <v/>
      </c>
    </row>
    <row r="9" spans="2:10">
      <c r="B9" s="29"/>
      <c r="C9" s="18"/>
      <c r="D9" s="38" t="s">
        <v>983</v>
      </c>
      <c r="E9" s="2">
        <v>0</v>
      </c>
      <c r="F9" s="18"/>
      <c r="G9" s="50" t="str">
        <f t="shared" si="2"/>
        <v/>
      </c>
      <c r="H9" s="50" t="str">
        <f t="shared" si="3"/>
        <v/>
      </c>
      <c r="I9" s="80" t="str">
        <f t="shared" si="0"/>
        <v/>
      </c>
      <c r="J9" s="138" t="str">
        <f t="shared" si="1"/>
        <v/>
      </c>
    </row>
    <row r="10" spans="2:10" ht="14.1" customHeight="1">
      <c r="B10" s="29"/>
      <c r="C10" s="18"/>
      <c r="D10" s="11" t="s">
        <v>984</v>
      </c>
      <c r="E10" s="11"/>
      <c r="F10" s="18"/>
      <c r="G10" s="50" t="str">
        <f t="shared" si="2"/>
        <v/>
      </c>
      <c r="H10" s="50" t="str">
        <f t="shared" si="3"/>
        <v/>
      </c>
      <c r="I10" s="80" t="str">
        <f t="shared" si="0"/>
        <v/>
      </c>
      <c r="J10" s="138" t="str">
        <f t="shared" si="1"/>
        <v/>
      </c>
    </row>
    <row r="11" spans="2:10">
      <c r="B11" s="29"/>
      <c r="C11" s="18"/>
      <c r="D11" s="18"/>
      <c r="E11" s="18"/>
      <c r="F11" s="18"/>
      <c r="G11" s="50" t="str">
        <f t="shared" si="2"/>
        <v/>
      </c>
      <c r="H11" s="50" t="str">
        <f t="shared" si="3"/>
        <v/>
      </c>
      <c r="I11" s="80" t="str">
        <f t="shared" si="0"/>
        <v/>
      </c>
      <c r="J11" s="138" t="str">
        <f t="shared" si="1"/>
        <v/>
      </c>
    </row>
    <row r="12" spans="2:10">
      <c r="B12" s="139" t="s">
        <v>985</v>
      </c>
      <c r="C12" s="18"/>
      <c r="D12" s="18"/>
      <c r="E12" s="18"/>
      <c r="F12" s="18"/>
      <c r="G12" s="50" t="str">
        <f t="shared" si="2"/>
        <v/>
      </c>
      <c r="H12" s="50" t="str">
        <f t="shared" si="3"/>
        <v/>
      </c>
      <c r="I12" s="80" t="str">
        <f t="shared" si="0"/>
        <v/>
      </c>
      <c r="J12" s="138" t="str">
        <f t="shared" si="1"/>
        <v/>
      </c>
    </row>
    <row r="13" spans="2:10">
      <c r="B13" s="140" t="s">
        <v>986</v>
      </c>
      <c r="C13" s="18"/>
      <c r="D13" s="38" t="s">
        <v>987</v>
      </c>
      <c r="E13" s="15" t="s">
        <v>988</v>
      </c>
      <c r="F13" s="18"/>
      <c r="G13" s="50" t="str">
        <f t="shared" si="2"/>
        <v/>
      </c>
      <c r="H13" s="50" t="str">
        <f t="shared" si="3"/>
        <v/>
      </c>
      <c r="I13" s="80" t="str">
        <f t="shared" si="0"/>
        <v/>
      </c>
      <c r="J13" s="138" t="str">
        <f t="shared" si="1"/>
        <v/>
      </c>
    </row>
    <row r="14" spans="2:10">
      <c r="B14" s="140" t="s">
        <v>989</v>
      </c>
      <c r="C14" s="38" t="s">
        <v>990</v>
      </c>
      <c r="D14" s="38" t="s">
        <v>991</v>
      </c>
      <c r="E14" s="15" t="s">
        <v>992</v>
      </c>
      <c r="F14" s="18" t="s">
        <v>993</v>
      </c>
      <c r="G14" s="50" t="str">
        <f t="shared" si="2"/>
        <v/>
      </c>
      <c r="H14" s="50" t="str">
        <f t="shared" si="3"/>
        <v/>
      </c>
      <c r="I14" s="80" t="str">
        <f t="shared" si="0"/>
        <v/>
      </c>
      <c r="J14" s="138" t="str">
        <f t="shared" si="1"/>
        <v/>
      </c>
    </row>
    <row r="15" spans="2:10">
      <c r="B15" s="140" t="s">
        <v>994</v>
      </c>
      <c r="C15" s="38" t="s">
        <v>995</v>
      </c>
      <c r="D15" s="18"/>
      <c r="E15" s="18"/>
      <c r="F15" s="18" t="s">
        <v>996</v>
      </c>
      <c r="G15" s="50" t="str">
        <f t="shared" si="2"/>
        <v/>
      </c>
      <c r="H15" s="50" t="str">
        <f t="shared" si="3"/>
        <v/>
      </c>
      <c r="I15" s="80" t="str">
        <f t="shared" si="0"/>
        <v/>
      </c>
      <c r="J15" s="138" t="str">
        <f t="shared" si="1"/>
        <v/>
      </c>
    </row>
    <row r="16" spans="2:10">
      <c r="B16" s="140" t="s">
        <v>997</v>
      </c>
      <c r="C16" s="38" t="s">
        <v>998</v>
      </c>
      <c r="D16" s="38" t="s">
        <v>987</v>
      </c>
      <c r="E16" s="15" t="s">
        <v>988</v>
      </c>
      <c r="F16" s="15" t="s">
        <v>999</v>
      </c>
      <c r="G16" s="50" t="str">
        <f t="shared" si="2"/>
        <v/>
      </c>
      <c r="H16" s="50" t="str">
        <f t="shared" si="3"/>
        <v/>
      </c>
      <c r="I16" s="80" t="str">
        <f t="shared" si="0"/>
        <v/>
      </c>
      <c r="J16" s="138" t="str">
        <f t="shared" si="1"/>
        <v/>
      </c>
    </row>
    <row r="17" spans="2:10">
      <c r="B17" s="140" t="s">
        <v>1000</v>
      </c>
      <c r="C17" s="136"/>
      <c r="D17" s="38" t="s">
        <v>1001</v>
      </c>
      <c r="E17" s="15" t="s">
        <v>1002</v>
      </c>
      <c r="F17" s="117"/>
      <c r="G17" s="50" t="str">
        <f t="shared" si="2"/>
        <v/>
      </c>
      <c r="H17" s="50" t="str">
        <f t="shared" si="3"/>
        <v/>
      </c>
      <c r="I17" s="80" t="str">
        <f t="shared" si="0"/>
        <v/>
      </c>
      <c r="J17" s="138" t="str">
        <f t="shared" si="1"/>
        <v/>
      </c>
    </row>
    <row r="18" spans="2:10">
      <c r="B18" s="140" t="s">
        <v>1003</v>
      </c>
      <c r="C18" s="18"/>
      <c r="D18" s="18"/>
      <c r="E18" s="18"/>
      <c r="F18" s="18"/>
      <c r="G18" s="50" t="str">
        <f t="shared" si="2"/>
        <v/>
      </c>
      <c r="H18" s="50" t="str">
        <f t="shared" si="3"/>
        <v/>
      </c>
      <c r="I18" s="80" t="str">
        <f t="shared" si="0"/>
        <v/>
      </c>
      <c r="J18" s="138" t="str">
        <f t="shared" si="1"/>
        <v/>
      </c>
    </row>
    <row r="19" spans="2:10">
      <c r="B19" s="140" t="s">
        <v>1004</v>
      </c>
      <c r="C19" s="18"/>
      <c r="D19" s="18"/>
      <c r="E19" s="18"/>
      <c r="F19" s="18"/>
      <c r="G19" s="50" t="str">
        <f t="shared" si="2"/>
        <v/>
      </c>
      <c r="H19" s="50" t="str">
        <f t="shared" si="3"/>
        <v/>
      </c>
      <c r="I19" s="80" t="str">
        <f t="shared" si="0"/>
        <v/>
      </c>
      <c r="J19" s="138" t="str">
        <f t="shared" si="1"/>
        <v/>
      </c>
    </row>
    <row r="20" spans="2:10">
      <c r="B20" s="140" t="s">
        <v>1005</v>
      </c>
      <c r="C20" s="18"/>
      <c r="D20" s="11" t="s">
        <v>984</v>
      </c>
      <c r="E20" s="11"/>
      <c r="F20" s="18"/>
      <c r="G20" s="15" t="str">
        <f>IF(E7&gt;15,"15 is the maximum times rotated.","")</f>
        <v/>
      </c>
      <c r="H20" s="18"/>
      <c r="I20" s="18"/>
      <c r="J20" s="19"/>
    </row>
    <row r="21" spans="2:10" ht="15.6" thickBot="1">
      <c r="B21" s="30"/>
      <c r="C21" s="21"/>
      <c r="D21" s="21"/>
      <c r="E21" s="21"/>
      <c r="F21" s="21"/>
      <c r="G21" s="21"/>
      <c r="H21" s="21"/>
      <c r="I21" s="21"/>
      <c r="J21" s="24"/>
    </row>
    <row r="22" spans="2:10" ht="15.6" thickTop="1"/>
    <row r="25" spans="2:10">
      <c r="G25" s="1"/>
    </row>
  </sheetData>
  <sheetProtection sheet="1" objects="1" scenarios="1"/>
  <phoneticPr fontId="0" type="noConversion"/>
  <printOptions horizontalCentered="1" verticalCentered="1" gridLinesSet="0"/>
  <pageMargins left="0.5" right="0.5" top="0.5" bottom="0.5" header="0.5" footer="0.5"/>
  <pageSetup pageOrder="overThenDown" orientation="landscape" blackAndWhite="1" horizontalDpi="180" verticalDpi="18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10"/>
  </sheetPr>
  <dimension ref="A1:K26"/>
  <sheetViews>
    <sheetView showGridLines="0" showRowColHeaders="0" zoomScale="75" workbookViewId="0">
      <selection activeCell="B7" sqref="B7"/>
    </sheetView>
  </sheetViews>
  <sheetFormatPr defaultColWidth="8.90625" defaultRowHeight="13.2"/>
  <cols>
    <col min="1" max="1" width="18" style="226" customWidth="1"/>
    <col min="2" max="2" width="7.54296875" style="226" customWidth="1"/>
    <col min="3" max="3" width="1.36328125" style="226" customWidth="1"/>
    <col min="4" max="11" width="7.54296875" style="226" customWidth="1"/>
    <col min="12" max="16384" width="8.90625" style="226"/>
  </cols>
  <sheetData>
    <row r="1" spans="1:11" ht="22.8">
      <c r="A1" s="223" t="s">
        <v>1006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</row>
    <row r="2" spans="1:11" ht="15">
      <c r="A2" s="227" t="s">
        <v>1007</v>
      </c>
      <c r="B2" s="228"/>
      <c r="C2" s="228"/>
      <c r="D2" s="228"/>
      <c r="E2" s="228"/>
      <c r="F2" s="228"/>
      <c r="G2" s="228"/>
      <c r="H2" s="228"/>
      <c r="I2" s="228"/>
      <c r="J2" s="228"/>
      <c r="K2" s="229"/>
    </row>
    <row r="3" spans="1:11" ht="15">
      <c r="A3" s="227" t="s">
        <v>1008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>
      <c r="A4" s="230"/>
      <c r="B4" s="231"/>
      <c r="C4" s="231"/>
      <c r="D4" s="232"/>
      <c r="E4" s="232"/>
      <c r="F4" s="231"/>
      <c r="G4" s="232"/>
      <c r="H4" s="231"/>
      <c r="I4" s="232"/>
      <c r="J4" s="232"/>
      <c r="K4" s="233"/>
    </row>
    <row r="5" spans="1:11">
      <c r="A5" s="230"/>
      <c r="B5" s="231"/>
      <c r="C5" s="231"/>
      <c r="D5" s="234" t="s">
        <v>1009</v>
      </c>
      <c r="E5" s="235" t="s">
        <v>1010</v>
      </c>
      <c r="F5" s="234" t="s">
        <v>1011</v>
      </c>
      <c r="G5" s="235" t="s">
        <v>1011</v>
      </c>
      <c r="H5" s="236" t="s">
        <v>1009</v>
      </c>
      <c r="I5" s="235" t="s">
        <v>1010</v>
      </c>
      <c r="J5" s="234" t="s">
        <v>1012</v>
      </c>
      <c r="K5" s="237" t="s">
        <v>1012</v>
      </c>
    </row>
    <row r="6" spans="1:11">
      <c r="A6" s="230"/>
      <c r="B6" s="231"/>
      <c r="C6" s="231"/>
      <c r="D6" s="238" t="s">
        <v>1013</v>
      </c>
      <c r="E6" s="239" t="s">
        <v>1013</v>
      </c>
      <c r="F6" s="238" t="s">
        <v>1014</v>
      </c>
      <c r="G6" s="239" t="s">
        <v>1015</v>
      </c>
      <c r="H6" s="240" t="s">
        <v>128</v>
      </c>
      <c r="I6" s="239" t="s">
        <v>128</v>
      </c>
      <c r="J6" s="238" t="s">
        <v>1016</v>
      </c>
      <c r="K6" s="241" t="s">
        <v>1014</v>
      </c>
    </row>
    <row r="7" spans="1:11" ht="15">
      <c r="A7" s="242" t="s">
        <v>1017</v>
      </c>
      <c r="B7" s="243"/>
      <c r="C7" s="231"/>
      <c r="D7" s="234"/>
      <c r="E7" s="235"/>
      <c r="F7" s="234"/>
      <c r="G7" s="235"/>
      <c r="H7" s="236"/>
      <c r="I7" s="235"/>
      <c r="J7" s="234"/>
      <c r="K7" s="237"/>
    </row>
    <row r="8" spans="1:11" ht="15">
      <c r="A8" s="242" t="s">
        <v>1018</v>
      </c>
      <c r="B8" s="243"/>
      <c r="C8" s="231"/>
      <c r="D8" s="234" t="str">
        <f>IF(OR(B7="",B9=""),"",B7/2*(1/(COS(B9/180*PI()))))</f>
        <v/>
      </c>
      <c r="E8" s="235" t="str">
        <f>IF(OR(B8="",B9=""),"",B8/2*(1/(COS(B9/180*PI()))))</f>
        <v/>
      </c>
      <c r="F8" s="234" t="str">
        <f>IF(OR(B7="",D8=""),"",(((57.296*(B7*PI()))/D8)*(B12/360))+B13)</f>
        <v/>
      </c>
      <c r="G8" s="235" t="str">
        <f>IF(OR(B7="",B8="",B9=""),"",(B8-B7)/2/COS((B9)/180*PI()))</f>
        <v/>
      </c>
      <c r="H8" s="236" t="str">
        <f>IF(OR(B8="",B9="",B11=""),"",B8-(2*(B11*COS((B9)/180*PI()))))</f>
        <v/>
      </c>
      <c r="I8" s="235" t="str">
        <f>IF(OR(B9="",B11="",B7=""),"",(2*(B11*COS((B9)/180*PI())))+B7)</f>
        <v/>
      </c>
      <c r="J8" s="234" t="str">
        <f>IF(OR(G8="",B9=""),"",(G8*SIN((B9)/180*PI())))</f>
        <v/>
      </c>
      <c r="K8" s="237" t="str">
        <f>IF(OR(G9="",B10=""),"",ASIN(SUM(B10/G9))*180/PI())</f>
        <v/>
      </c>
    </row>
    <row r="9" spans="1:11" ht="15">
      <c r="A9" s="242" t="s">
        <v>1019</v>
      </c>
      <c r="B9" s="243"/>
      <c r="C9" s="232"/>
      <c r="D9" s="234" t="str">
        <f>IF(OR(B7="",K8=""),"",B7/2*(1/(COS(K8/180*PI()))))</f>
        <v/>
      </c>
      <c r="E9" s="235" t="str">
        <f>IF(OR(B8="",K8=""),"",B8/2*(1/(COS(K8/180*PI()))))</f>
        <v/>
      </c>
      <c r="F9" s="234" t="str">
        <f>IF(OR(B7="",D9=""),"",(((57.296*(B7*PI()))/D9)*(B12/360))+B13)</f>
        <v/>
      </c>
      <c r="G9" s="235" t="str">
        <f>IF(OR(B7="",B8="",B10=""),"",(SQRT(((B8-B7)/2)*((B8-B7)/2)+(B10*B10))))</f>
        <v/>
      </c>
      <c r="H9" s="236" t="str">
        <f>IF(OR(B8="",K9="",B11=""),"",B8-(2*(B11*COS((K9)/180*PI()))))</f>
        <v/>
      </c>
      <c r="I9" s="235" t="str">
        <f>IF(OR(B9="",G10="",B7=""),"",(2*(G10*COS((B9)/180*PI())))+B7)</f>
        <v/>
      </c>
      <c r="J9" s="234" t="str">
        <f>IF(OR(B11="",B9=""),"",(B11*SIN((B9)/180*PI())))</f>
        <v/>
      </c>
      <c r="K9" s="237" t="str">
        <f>IF(OR(B10="",B11=""),"",ASIN(SUM(B10/B11))*180/PI())</f>
        <v/>
      </c>
    </row>
    <row r="10" spans="1:11" ht="15">
      <c r="A10" s="242" t="s">
        <v>1020</v>
      </c>
      <c r="B10" s="243"/>
      <c r="C10" s="231"/>
      <c r="D10" s="234" t="str">
        <f>IF(OR(E8="",G10=""),"",E8-G10)</f>
        <v/>
      </c>
      <c r="E10" s="235" t="str">
        <f>IF(OR(D8="",G10=""),"",D8+G10)</f>
        <v/>
      </c>
      <c r="F10" s="234" t="str">
        <f>IF(OR(B7="",D12=""),"",(((57.296*(B7*PI()))/D12)*(B12/360))+B13)</f>
        <v/>
      </c>
      <c r="G10" s="235" t="str">
        <f>IF(OR(B9="",B10=""),"",SUM(B10/SIN((B9)/180*PI())))</f>
        <v/>
      </c>
      <c r="H10" s="236" t="str">
        <f>IF(OR(B8="",B9="",G10=""),"",B8-(2*(G10*COS((B9)/180*PI()))))</f>
        <v/>
      </c>
      <c r="I10" s="235" t="str">
        <f>IF(OR(K9="",B11="",B7=""),"",(2*(B11*COS((K9)/180*PI())))+B7)</f>
        <v/>
      </c>
      <c r="J10" s="234"/>
      <c r="K10" s="244"/>
    </row>
    <row r="11" spans="1:11" ht="15">
      <c r="A11" s="242" t="s">
        <v>1021</v>
      </c>
      <c r="B11" s="243"/>
      <c r="C11" s="231"/>
      <c r="D11" s="234" t="str">
        <f>IF(OR(E11="",B11=""),"",E11-B11)</f>
        <v/>
      </c>
      <c r="E11" s="235" t="str">
        <f>IF(OR(B8="",K9=""),"",B8/2*(1/(COS(K9/180*PI()))))</f>
        <v/>
      </c>
      <c r="F11" s="234" t="str">
        <f>IF(OR(H9="",D11=""),"",(((57.296*(H9*PI()))/D11)*(B12/360))+B13)</f>
        <v/>
      </c>
      <c r="G11" s="235"/>
      <c r="H11" s="245"/>
      <c r="I11" s="235"/>
      <c r="J11" s="234"/>
      <c r="K11" s="244"/>
    </row>
    <row r="12" spans="1:11" ht="15">
      <c r="A12" s="242" t="s">
        <v>1022</v>
      </c>
      <c r="B12" s="243">
        <v>360</v>
      </c>
      <c r="C12" s="231"/>
      <c r="D12" s="234" t="str">
        <f>IF(OR(B7="",K9=""),"",B7/2*(1/(COS(K9/180*PI()))))</f>
        <v/>
      </c>
      <c r="E12" s="235" t="str">
        <f>IF(OR(I10="",K9=""),"",I10/2*(1/(COS(K9/180*PI()))))</f>
        <v/>
      </c>
      <c r="F12" s="234" t="str">
        <f>IF(OR(H10="",D10=""),"",(((57.296*(H10*PI()))/D10)*(B12/360))+B13)</f>
        <v/>
      </c>
      <c r="G12" s="235"/>
      <c r="H12" s="236"/>
      <c r="I12" s="235"/>
      <c r="J12" s="234"/>
      <c r="K12" s="244"/>
    </row>
    <row r="13" spans="1:11" ht="15">
      <c r="A13" s="242" t="s">
        <v>1023</v>
      </c>
      <c r="B13" s="243">
        <v>0</v>
      </c>
      <c r="C13" s="231"/>
      <c r="D13" s="234" t="str">
        <f>IF(OR(H8="",B9=""),"",H8/2*(1/(COS(B9/180*PI()))))</f>
        <v/>
      </c>
      <c r="E13" s="235" t="str">
        <f>IF(OR(I8="",B9=""),"",I8/2*(1/(COS(B9/180*PI()))))</f>
        <v/>
      </c>
      <c r="F13" s="234" t="str">
        <f>IF(OR(H8="",D13=""),"",(((57.296*(H8*PI()))/D13)*(B12/360))+B13)</f>
        <v/>
      </c>
      <c r="G13" s="235"/>
      <c r="H13" s="236"/>
      <c r="I13" s="235"/>
      <c r="J13" s="234"/>
      <c r="K13" s="244"/>
    </row>
    <row r="14" spans="1:11">
      <c r="A14" s="230"/>
      <c r="B14" s="232"/>
      <c r="C14" s="232"/>
      <c r="D14" s="231"/>
      <c r="E14" s="231"/>
      <c r="F14" s="231"/>
      <c r="G14" s="231"/>
      <c r="H14" s="231"/>
      <c r="I14" s="231"/>
      <c r="J14" s="231"/>
      <c r="K14" s="233"/>
    </row>
    <row r="15" spans="1:11">
      <c r="A15" s="230"/>
      <c r="B15" s="232"/>
      <c r="C15" s="232"/>
      <c r="D15" s="232"/>
      <c r="E15" s="228"/>
      <c r="F15" s="228"/>
      <c r="G15" s="232"/>
      <c r="H15" s="232"/>
      <c r="I15" s="232"/>
      <c r="J15" s="228"/>
      <c r="K15" s="229"/>
    </row>
    <row r="16" spans="1:11">
      <c r="A16" s="230"/>
      <c r="B16" s="232"/>
      <c r="C16" s="232"/>
      <c r="D16" s="232"/>
      <c r="E16" s="232"/>
      <c r="F16" s="232"/>
      <c r="G16" s="232"/>
      <c r="H16" s="232"/>
      <c r="I16" s="232"/>
      <c r="J16" s="232"/>
      <c r="K16" s="233"/>
    </row>
    <row r="17" spans="1:11">
      <c r="A17" s="230"/>
      <c r="B17" s="232"/>
      <c r="C17" s="232"/>
      <c r="D17" s="232"/>
      <c r="E17" s="246"/>
      <c r="F17" s="232"/>
      <c r="G17" s="232"/>
      <c r="H17" s="232"/>
      <c r="I17" s="232"/>
      <c r="J17" s="232"/>
      <c r="K17" s="233"/>
    </row>
    <row r="18" spans="1:11">
      <c r="A18" s="242"/>
      <c r="B18" s="232"/>
      <c r="C18" s="232"/>
      <c r="D18" s="232"/>
      <c r="E18" s="232"/>
      <c r="F18" s="232"/>
      <c r="G18" s="232"/>
      <c r="H18" s="232"/>
      <c r="I18" s="232"/>
      <c r="J18" s="232"/>
      <c r="K18" s="233"/>
    </row>
    <row r="19" spans="1:11">
      <c r="A19" s="242"/>
      <c r="B19" s="232"/>
      <c r="C19" s="232"/>
      <c r="D19" s="232"/>
      <c r="E19" s="232"/>
      <c r="F19" s="232"/>
      <c r="G19" s="232"/>
      <c r="H19" s="232"/>
      <c r="I19" s="232"/>
      <c r="J19" s="232"/>
      <c r="K19" s="233"/>
    </row>
    <row r="20" spans="1:11">
      <c r="A20" s="242"/>
      <c r="B20" s="232"/>
      <c r="C20" s="232"/>
      <c r="D20" s="232"/>
      <c r="E20" s="232"/>
      <c r="F20" s="232"/>
      <c r="G20" s="232"/>
      <c r="H20" s="232"/>
      <c r="I20" s="232"/>
      <c r="J20" s="232"/>
      <c r="K20" s="233"/>
    </row>
    <row r="21" spans="1:11">
      <c r="A21" s="242"/>
      <c r="B21" s="232"/>
      <c r="C21" s="232"/>
      <c r="D21" s="232"/>
      <c r="E21" s="232"/>
      <c r="F21" s="232"/>
      <c r="G21" s="232"/>
      <c r="H21" s="232"/>
      <c r="I21" s="232"/>
      <c r="J21" s="228"/>
      <c r="K21" s="229"/>
    </row>
    <row r="22" spans="1:11">
      <c r="A22" s="230"/>
      <c r="B22" s="232"/>
      <c r="C22" s="232"/>
      <c r="D22" s="232"/>
      <c r="E22" s="232"/>
      <c r="F22" s="232"/>
      <c r="G22" s="232"/>
      <c r="H22" s="232"/>
      <c r="I22" s="232"/>
      <c r="J22" s="232"/>
      <c r="K22" s="233"/>
    </row>
    <row r="23" spans="1:11">
      <c r="A23" s="230"/>
      <c r="B23" s="232"/>
      <c r="C23" s="232"/>
      <c r="D23" s="232"/>
      <c r="E23" s="232"/>
      <c r="F23" s="232"/>
      <c r="G23" s="232"/>
      <c r="H23" s="232"/>
      <c r="I23" s="232"/>
      <c r="J23" s="232"/>
      <c r="K23" s="233"/>
    </row>
    <row r="24" spans="1:11">
      <c r="A24" s="230"/>
      <c r="B24" s="232"/>
      <c r="C24" s="232"/>
      <c r="D24" s="232"/>
      <c r="E24" s="232"/>
      <c r="F24" s="232"/>
      <c r="G24" s="232"/>
      <c r="H24" s="232"/>
      <c r="I24" s="232"/>
      <c r="J24" s="232"/>
      <c r="K24" s="233"/>
    </row>
    <row r="25" spans="1:11">
      <c r="A25" s="230"/>
      <c r="B25" s="232"/>
      <c r="C25" s="232"/>
      <c r="D25" s="232"/>
      <c r="E25" s="232"/>
      <c r="F25" s="232"/>
      <c r="G25" s="232"/>
      <c r="H25" s="232"/>
      <c r="I25" s="232"/>
      <c r="J25" s="232"/>
      <c r="K25" s="233"/>
    </row>
    <row r="26" spans="1:11" ht="13.8" thickBot="1">
      <c r="A26" s="247"/>
      <c r="B26" s="248"/>
      <c r="C26" s="248"/>
      <c r="D26" s="248"/>
      <c r="E26" s="248"/>
      <c r="F26" s="248"/>
      <c r="G26" s="248"/>
      <c r="H26" s="248"/>
      <c r="I26" s="248"/>
      <c r="J26" s="248"/>
      <c r="K26" s="249"/>
    </row>
  </sheetData>
  <sheetProtection sheet="1" objects="1" scenarios="1"/>
  <phoneticPr fontId="0" type="noConversion"/>
  <printOptions horizontalCentered="1" verticalCentered="1"/>
  <pageMargins left="0.5" right="0.5" top="1" bottom="1" header="0.5" footer="0.5"/>
  <pageSetup orientation="landscape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 codeName="Sheet16">
    <tabColor indexed="12"/>
  </sheetPr>
  <dimension ref="B1:J21"/>
  <sheetViews>
    <sheetView showGridLines="0" showRowColHeaders="0" zoomScale="75" workbookViewId="0">
      <selection activeCell="D5" sqref="D5"/>
    </sheetView>
  </sheetViews>
  <sheetFormatPr defaultColWidth="9.81640625" defaultRowHeight="15"/>
  <cols>
    <col min="1" max="1" width="2.81640625" customWidth="1"/>
    <col min="2" max="2" width="16.81640625" customWidth="1"/>
    <col min="3" max="3" width="4.81640625" customWidth="1"/>
    <col min="4" max="4" width="11.81640625" customWidth="1"/>
    <col min="5" max="5" width="5.81640625" customWidth="1"/>
    <col min="6" max="9" width="9.81640625" customWidth="1"/>
    <col min="10" max="10" width="4.81640625" customWidth="1"/>
  </cols>
  <sheetData>
    <row r="1" spans="2:10" ht="23.4" thickTop="1">
      <c r="B1" s="7" t="s">
        <v>1024</v>
      </c>
      <c r="C1" s="8"/>
      <c r="D1" s="8"/>
      <c r="E1" s="8"/>
      <c r="F1" s="8"/>
      <c r="G1" s="8"/>
      <c r="H1" s="8"/>
      <c r="I1" s="8"/>
      <c r="J1" s="9"/>
    </row>
    <row r="2" spans="2:10">
      <c r="B2" s="49" t="s">
        <v>1025</v>
      </c>
      <c r="C2" s="11"/>
      <c r="D2" s="11"/>
      <c r="E2" s="11"/>
      <c r="F2" s="11"/>
      <c r="G2" s="11"/>
      <c r="H2" s="11"/>
      <c r="I2" s="11"/>
      <c r="J2" s="13"/>
    </row>
    <row r="3" spans="2:10">
      <c r="B3" s="29"/>
      <c r="C3" s="18"/>
      <c r="D3" s="18"/>
      <c r="E3" s="18"/>
      <c r="F3" s="18"/>
      <c r="G3" s="18"/>
      <c r="H3" s="18"/>
      <c r="I3" s="18"/>
      <c r="J3" s="19"/>
    </row>
    <row r="4" spans="2:10">
      <c r="B4" s="29"/>
      <c r="C4" s="18"/>
      <c r="D4" s="18"/>
      <c r="E4" s="18"/>
      <c r="F4" s="50" t="s">
        <v>98</v>
      </c>
      <c r="G4" s="50" t="s">
        <v>100</v>
      </c>
      <c r="H4" s="50" t="s">
        <v>1026</v>
      </c>
      <c r="I4" s="50" t="s">
        <v>1027</v>
      </c>
      <c r="J4" s="19"/>
    </row>
    <row r="5" spans="2:10">
      <c r="B5" s="52" t="s">
        <v>1028</v>
      </c>
      <c r="C5" s="38" t="s">
        <v>1029</v>
      </c>
      <c r="D5" s="3"/>
      <c r="E5" s="18"/>
      <c r="F5" s="18" t="str">
        <f>IF(OR(D6="",D8=""),"",(ASIN(SUM((D6*0.5)/D8))*180/PI())*2)</f>
        <v/>
      </c>
      <c r="G5" s="18" t="str">
        <f>IF(OR(D7="",D8=""),"",SUM(2*SQRT(D7*(2*D8-D7))))</f>
        <v/>
      </c>
      <c r="H5" s="18" t="str">
        <f>IF(OR(D6="",D8=""),"",SUM(D8-(0.5*SQRT((4*(D8*D8)-(D6*D6))))))</f>
        <v/>
      </c>
      <c r="I5" s="18" t="str">
        <f>IF(OR(D6="",D7=""),"",(SUM(D6*D6)+4*(D7*D7))/(8*D7))</f>
        <v/>
      </c>
      <c r="J5" s="19"/>
    </row>
    <row r="6" spans="2:10">
      <c r="B6" s="52" t="s">
        <v>1030</v>
      </c>
      <c r="C6" s="38" t="s">
        <v>1031</v>
      </c>
      <c r="D6" s="3"/>
      <c r="E6" s="18"/>
      <c r="F6" s="18" t="str">
        <f>IF(OR(D7="",D8=""),"",(ASIN(SUM((G5*0.5)/D8))*180/PI())*2)</f>
        <v/>
      </c>
      <c r="G6" s="18" t="str">
        <f>IF(OR(D5="",D8=""),"",SUM(2*SQRT(H6*(2*D8-H6))))</f>
        <v/>
      </c>
      <c r="H6" s="18" t="str">
        <f>IF(OR(D5="",D8=""),"",SUM(D8*(1-COS((D5/180*PI())*0.5))))</f>
        <v/>
      </c>
      <c r="I6" s="18" t="str">
        <f>IF(OR(D5="",D6=""),"",SUM((D6*0.5)/SIN((D5*0.5)/180*PI())))</f>
        <v/>
      </c>
      <c r="J6" s="19"/>
    </row>
    <row r="7" spans="2:10">
      <c r="B7" s="52" t="s">
        <v>1032</v>
      </c>
      <c r="C7" s="38" t="s">
        <v>1033</v>
      </c>
      <c r="D7" s="3"/>
      <c r="E7" s="18"/>
      <c r="F7" s="18" t="str">
        <f>IF(OR(D6="",D7=""),"",(ASIN(SUM((D6*0.5)/I5))*180/PI())*2)</f>
        <v/>
      </c>
      <c r="G7" s="18"/>
      <c r="H7" s="18" t="str">
        <f>IF(OR(D5="",D6=""),"",SUM(I6-(0.5*SQRT((4*(I6*I6)-(D6*D6))))))</f>
        <v/>
      </c>
      <c r="I7" s="18"/>
      <c r="J7" s="19"/>
    </row>
    <row r="8" spans="2:10">
      <c r="B8" s="52" t="s">
        <v>1013</v>
      </c>
      <c r="C8" s="38" t="s">
        <v>1034</v>
      </c>
      <c r="D8" s="3"/>
      <c r="E8" s="18" t="str">
        <f>IF(OR(D5="",D7=""),""," This will not work with these two knowns.")</f>
        <v/>
      </c>
      <c r="F8" s="18"/>
      <c r="G8" s="18"/>
      <c r="H8" s="18"/>
      <c r="I8" s="18"/>
      <c r="J8" s="19"/>
    </row>
    <row r="9" spans="2:10">
      <c r="B9" s="29"/>
      <c r="C9" s="18"/>
      <c r="D9" s="18"/>
      <c r="E9" s="18"/>
      <c r="F9" s="18"/>
      <c r="G9" s="18"/>
      <c r="H9" s="18"/>
      <c r="I9" s="18"/>
      <c r="J9" s="19"/>
    </row>
    <row r="10" spans="2:10">
      <c r="B10" s="29"/>
      <c r="C10" s="18"/>
      <c r="D10" s="18"/>
      <c r="E10" s="18"/>
      <c r="F10" s="18"/>
      <c r="G10" s="18"/>
      <c r="H10" s="50" t="s">
        <v>100</v>
      </c>
      <c r="I10" s="18"/>
      <c r="J10" s="19"/>
    </row>
    <row r="11" spans="2:10">
      <c r="B11" s="29"/>
      <c r="C11" s="18"/>
      <c r="D11" s="18"/>
      <c r="E11" s="18"/>
      <c r="F11" s="18"/>
      <c r="G11" s="18"/>
      <c r="H11" s="18"/>
      <c r="I11" s="18"/>
      <c r="J11" s="19"/>
    </row>
    <row r="12" spans="2:10">
      <c r="B12" s="29"/>
      <c r="C12" s="18"/>
      <c r="D12" s="18"/>
      <c r="E12" s="18"/>
      <c r="F12" s="18"/>
      <c r="G12" s="18"/>
      <c r="H12" s="55"/>
      <c r="I12" s="18"/>
      <c r="J12" s="19"/>
    </row>
    <row r="13" spans="2:10">
      <c r="B13" s="29"/>
      <c r="C13" s="18"/>
      <c r="D13" s="18"/>
      <c r="E13" s="18"/>
      <c r="F13" s="18"/>
      <c r="G13" s="18"/>
      <c r="H13" s="18"/>
      <c r="I13" s="18"/>
      <c r="J13" s="19"/>
    </row>
    <row r="14" spans="2:10">
      <c r="B14" s="29"/>
      <c r="C14" s="18"/>
      <c r="D14" s="18"/>
      <c r="E14" s="18"/>
      <c r="F14" s="18"/>
      <c r="G14" s="18"/>
      <c r="H14" s="18"/>
      <c r="I14" s="18"/>
      <c r="J14" s="19"/>
    </row>
    <row r="15" spans="2:10">
      <c r="B15" s="29"/>
      <c r="C15" s="18"/>
      <c r="D15" s="18"/>
      <c r="E15" s="18"/>
      <c r="F15" s="18"/>
      <c r="G15" s="18"/>
      <c r="H15" s="50" t="s">
        <v>98</v>
      </c>
      <c r="I15" s="18" t="s">
        <v>1027</v>
      </c>
      <c r="J15" s="19"/>
    </row>
    <row r="16" spans="2:10">
      <c r="B16" s="29"/>
      <c r="C16" s="18"/>
      <c r="D16" s="18"/>
      <c r="E16" s="18"/>
      <c r="F16" s="18"/>
      <c r="G16" s="18"/>
      <c r="H16" s="50"/>
      <c r="I16" s="18"/>
      <c r="J16" s="19"/>
    </row>
    <row r="17" spans="2:10">
      <c r="B17" s="29"/>
      <c r="C17" s="18"/>
      <c r="D17" s="18"/>
      <c r="E17" s="18"/>
      <c r="F17" s="18"/>
      <c r="G17" s="18"/>
      <c r="H17" s="50"/>
      <c r="I17" s="15"/>
      <c r="J17" s="19"/>
    </row>
    <row r="18" spans="2:10">
      <c r="B18" s="29"/>
      <c r="C18" s="18"/>
      <c r="D18" s="18"/>
      <c r="E18" s="18"/>
      <c r="F18" s="18"/>
      <c r="G18" s="18"/>
      <c r="H18" s="50"/>
      <c r="I18" s="18"/>
      <c r="J18" s="19"/>
    </row>
    <row r="19" spans="2:10">
      <c r="B19" s="29"/>
      <c r="C19" s="18"/>
      <c r="D19" s="18"/>
      <c r="E19" s="18"/>
      <c r="F19" s="18"/>
      <c r="G19" s="18"/>
      <c r="H19" s="18"/>
      <c r="I19" s="18"/>
      <c r="J19" s="19"/>
    </row>
    <row r="20" spans="2:10" ht="15.6" thickBot="1">
      <c r="B20" s="30"/>
      <c r="C20" s="21"/>
      <c r="D20" s="21"/>
      <c r="E20" s="21"/>
      <c r="F20" s="21"/>
      <c r="G20" s="21"/>
      <c r="H20" s="21"/>
      <c r="I20" s="21"/>
      <c r="J20" s="24"/>
    </row>
    <row r="21" spans="2:10" ht="15.6" thickTop="1"/>
  </sheetData>
  <sheetProtection sheet="1" objects="1" scenarios="1"/>
  <phoneticPr fontId="0" type="noConversion"/>
  <printOptions horizontalCentered="1" verticalCentered="1" gridLinesSet="0"/>
  <pageMargins left="0.5" right="0.5" top="0.5" bottom="0.5" header="0.5" footer="0.5"/>
  <pageSetup orientation="landscape" blackAndWhite="1" horizontalDpi="180" verticalDpi="18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transitionEvaluation="1" codeName="Sheet17">
    <tabColor indexed="8"/>
  </sheetPr>
  <dimension ref="B1:H21"/>
  <sheetViews>
    <sheetView showGridLines="0" showRowColHeaders="0" zoomScale="75" workbookViewId="0">
      <selection activeCell="D5" sqref="D5"/>
    </sheetView>
  </sheetViews>
  <sheetFormatPr defaultColWidth="9.81640625" defaultRowHeight="15"/>
  <cols>
    <col min="1" max="1" width="7.81640625" customWidth="1"/>
    <col min="2" max="2" width="21.81640625" customWidth="1"/>
    <col min="3" max="3" width="5.81640625" customWidth="1"/>
    <col min="8" max="8" width="3.81640625" customWidth="1"/>
  </cols>
  <sheetData>
    <row r="1" spans="2:8" ht="23.4" thickTop="1">
      <c r="B1" s="7" t="s">
        <v>1035</v>
      </c>
      <c r="C1" s="8"/>
      <c r="D1" s="8"/>
      <c r="E1" s="8"/>
      <c r="F1" s="8"/>
      <c r="G1" s="8"/>
      <c r="H1" s="56"/>
    </row>
    <row r="2" spans="2:8" ht="14.1" customHeight="1">
      <c r="B2" s="49" t="s">
        <v>1036</v>
      </c>
      <c r="C2" s="11"/>
      <c r="D2" s="11"/>
      <c r="E2" s="11"/>
      <c r="F2" s="11"/>
      <c r="G2" s="11"/>
      <c r="H2" s="19"/>
    </row>
    <row r="3" spans="2:8" ht="14.1" customHeight="1">
      <c r="B3" s="29"/>
      <c r="C3" s="18"/>
      <c r="D3" s="18"/>
      <c r="E3" s="18"/>
      <c r="F3" s="18"/>
      <c r="G3" s="18"/>
      <c r="H3" s="19"/>
    </row>
    <row r="4" spans="2:8">
      <c r="B4" s="29"/>
      <c r="C4" s="18"/>
      <c r="D4" s="18"/>
      <c r="E4" s="18"/>
      <c r="F4" s="50" t="s">
        <v>1037</v>
      </c>
      <c r="G4" s="50" t="s">
        <v>1038</v>
      </c>
      <c r="H4" s="19"/>
    </row>
    <row r="5" spans="2:8">
      <c r="B5" s="52" t="s">
        <v>1039</v>
      </c>
      <c r="C5" s="38" t="s">
        <v>1040</v>
      </c>
      <c r="D5" s="3"/>
      <c r="E5" s="18"/>
      <c r="F5" s="51" t="str">
        <f>IF(OR(D5="",D7=""),"",SUM(((D7*0.5)*COS(((360/D5)*0.5)/180*PI())))*2)</f>
        <v/>
      </c>
      <c r="G5" s="51" t="str">
        <f>IF(OR(D5="",D6=""),"",SUM(((D6*0.5)/COS(((360/D5)*0.5)/180*PI())))*2)</f>
        <v/>
      </c>
      <c r="H5" s="19"/>
    </row>
    <row r="6" spans="2:8">
      <c r="B6" s="52" t="s">
        <v>1041</v>
      </c>
      <c r="C6" s="38" t="s">
        <v>1042</v>
      </c>
      <c r="D6" s="3"/>
      <c r="E6" s="18" t="str">
        <f>IF(OR(D6="",D7=""),""," You can't enter both the IC and OC.")</f>
        <v/>
      </c>
      <c r="F6" s="18"/>
      <c r="G6" s="18"/>
      <c r="H6" s="19"/>
    </row>
    <row r="7" spans="2:8">
      <c r="B7" s="52" t="s">
        <v>1043</v>
      </c>
      <c r="C7" s="38" t="s">
        <v>1044</v>
      </c>
      <c r="D7" s="3"/>
      <c r="E7" s="18" t="str">
        <f>IF(OR(D6="",D7=""),""," You must enter ES and one other.")</f>
        <v/>
      </c>
      <c r="F7" s="18"/>
      <c r="G7" s="18"/>
      <c r="H7" s="19"/>
    </row>
    <row r="8" spans="2:8">
      <c r="B8" s="29"/>
      <c r="C8" s="18"/>
      <c r="D8" s="18"/>
      <c r="E8" s="18"/>
      <c r="F8" s="18"/>
      <c r="G8" s="18"/>
      <c r="H8" s="19"/>
    </row>
    <row r="9" spans="2:8">
      <c r="B9" s="29"/>
      <c r="C9" s="18"/>
      <c r="D9" s="18"/>
      <c r="E9" s="18"/>
      <c r="F9" s="18"/>
      <c r="G9" s="18"/>
      <c r="H9" s="19"/>
    </row>
    <row r="10" spans="2:8">
      <c r="B10" s="29"/>
      <c r="C10" s="18"/>
      <c r="D10" s="18"/>
      <c r="E10" s="18"/>
      <c r="F10" s="18"/>
      <c r="G10" s="18"/>
      <c r="H10" s="19"/>
    </row>
    <row r="11" spans="2:8">
      <c r="B11" s="29"/>
      <c r="C11" s="18"/>
      <c r="D11" s="18"/>
      <c r="E11" s="18"/>
      <c r="F11" s="18"/>
      <c r="G11" s="18"/>
      <c r="H11" s="19"/>
    </row>
    <row r="12" spans="2:8">
      <c r="B12" s="27" t="s">
        <v>985</v>
      </c>
      <c r="C12" s="57"/>
      <c r="D12" s="57"/>
      <c r="E12" s="18"/>
      <c r="F12" s="18"/>
      <c r="G12" s="18"/>
      <c r="H12" s="19"/>
    </row>
    <row r="13" spans="2:8">
      <c r="B13" s="49" t="s">
        <v>1045</v>
      </c>
      <c r="C13" s="11"/>
      <c r="D13" s="11"/>
      <c r="E13" s="18"/>
      <c r="F13" s="18"/>
      <c r="G13" s="18"/>
      <c r="H13" s="19"/>
    </row>
    <row r="14" spans="2:8">
      <c r="B14" s="49" t="s">
        <v>1046</v>
      </c>
      <c r="C14" s="11"/>
      <c r="D14" s="11"/>
      <c r="E14" s="18"/>
      <c r="F14" s="18" t="s">
        <v>1037</v>
      </c>
      <c r="G14" s="18"/>
      <c r="H14" s="19"/>
    </row>
    <row r="15" spans="2:8">
      <c r="B15" s="29"/>
      <c r="C15" s="18"/>
      <c r="D15" s="18"/>
      <c r="E15" s="18"/>
      <c r="F15" s="18"/>
      <c r="G15" s="18"/>
      <c r="H15" s="19"/>
    </row>
    <row r="16" spans="2:8">
      <c r="B16" s="29"/>
      <c r="C16" s="18"/>
      <c r="D16" s="18"/>
      <c r="E16" s="18"/>
      <c r="F16" s="18"/>
      <c r="G16" s="18"/>
      <c r="H16" s="19"/>
    </row>
    <row r="17" spans="2:8">
      <c r="B17" s="29"/>
      <c r="C17" s="18"/>
      <c r="D17" s="18"/>
      <c r="E17" s="18"/>
      <c r="F17" s="18"/>
      <c r="G17" s="18"/>
      <c r="H17" s="19"/>
    </row>
    <row r="18" spans="2:8">
      <c r="B18" s="29"/>
      <c r="C18" s="18"/>
      <c r="D18" s="18"/>
      <c r="E18" s="18"/>
      <c r="F18" s="18"/>
      <c r="G18" s="18"/>
      <c r="H18" s="19"/>
    </row>
    <row r="19" spans="2:8">
      <c r="B19" s="29"/>
      <c r="C19" s="18"/>
      <c r="D19" s="18"/>
      <c r="E19" s="18"/>
      <c r="F19" s="18"/>
      <c r="G19" s="18"/>
      <c r="H19" s="19"/>
    </row>
    <row r="20" spans="2:8" ht="15.6" thickBot="1">
      <c r="B20" s="30"/>
      <c r="C20" s="21"/>
      <c r="D20" s="21"/>
      <c r="E20" s="21"/>
      <c r="F20" s="21"/>
      <c r="G20" s="21"/>
      <c r="H20" s="24"/>
    </row>
    <row r="21" spans="2:8" ht="15.6" thickTop="1"/>
  </sheetData>
  <sheetProtection sheet="1" objects="1" scenarios="1"/>
  <phoneticPr fontId="0" type="noConversion"/>
  <printOptions horizontalCentered="1" verticalCentered="1" gridLinesSet="0"/>
  <pageMargins left="0.5" right="0.5" top="0.5" bottom="0.5" header="0.5" footer="0.5"/>
  <pageSetup orientation="landscape" blackAndWhite="1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  <pageSetUpPr fitToPage="1"/>
  </sheetPr>
  <dimension ref="A1:AC72"/>
  <sheetViews>
    <sheetView showGridLines="0" showZeros="0" topLeftCell="A8" workbookViewId="0">
      <selection activeCell="P8" sqref="P8"/>
    </sheetView>
  </sheetViews>
  <sheetFormatPr defaultColWidth="7.08984375" defaultRowHeight="12.6"/>
  <cols>
    <col min="1" max="28" width="3.6328125" style="487" customWidth="1"/>
    <col min="29" max="16384" width="7.08984375" style="487"/>
  </cols>
  <sheetData>
    <row r="1" spans="1:29" ht="12.75" hidden="1" customHeight="1">
      <c r="A1" s="481"/>
      <c r="B1" s="482"/>
      <c r="C1" s="483" t="s">
        <v>882</v>
      </c>
      <c r="D1" s="483" t="s">
        <v>883</v>
      </c>
      <c r="E1" s="483" t="s">
        <v>884</v>
      </c>
      <c r="F1" s="483" t="s">
        <v>885</v>
      </c>
      <c r="G1" s="484"/>
      <c r="H1" s="484"/>
      <c r="I1" s="485"/>
      <c r="J1" s="484"/>
      <c r="K1" s="484"/>
      <c r="L1" s="484"/>
      <c r="M1" s="483" t="s">
        <v>886</v>
      </c>
      <c r="N1" s="483" t="s">
        <v>887</v>
      </c>
      <c r="O1" s="483" t="s">
        <v>888</v>
      </c>
      <c r="P1" s="483" t="s">
        <v>889</v>
      </c>
      <c r="Q1" s="484"/>
      <c r="R1" s="485"/>
      <c r="S1" s="484"/>
      <c r="T1" s="484"/>
      <c r="U1" s="483" t="s">
        <v>890</v>
      </c>
      <c r="V1" s="483" t="s">
        <v>891</v>
      </c>
      <c r="W1" s="483" t="s">
        <v>892</v>
      </c>
      <c r="X1" s="483" t="s">
        <v>893</v>
      </c>
      <c r="Y1" s="484"/>
      <c r="Z1" s="484"/>
      <c r="AA1" s="484"/>
      <c r="AB1" s="486"/>
    </row>
    <row r="2" spans="1:29" ht="13.5" hidden="1" customHeight="1">
      <c r="A2" s="488"/>
      <c r="B2" s="489"/>
      <c r="C2" s="490" t="str">
        <f>"1/1/" &amp;I8</f>
        <v>1/1/2008</v>
      </c>
      <c r="D2" s="489">
        <f>U2+31</f>
        <v>39539</v>
      </c>
      <c r="E2" s="489">
        <f>V2+30</f>
        <v>39630</v>
      </c>
      <c r="F2" s="489">
        <f>W2+30</f>
        <v>39722</v>
      </c>
      <c r="G2" s="489"/>
      <c r="H2" s="491"/>
      <c r="I2" s="492"/>
      <c r="J2" s="491"/>
      <c r="K2" s="491"/>
      <c r="L2" s="491">
        <f>IF(OR((AND(MOD(YEAR(C2),4)=0,MOD(YEAR(C2),100)&lt;&gt;0)), (MOD(YEAR(C2),400)=0)), 29,28)</f>
        <v>29</v>
      </c>
      <c r="M2" s="489">
        <f>C2+31</f>
        <v>39479</v>
      </c>
      <c r="N2" s="489">
        <f>D2+30</f>
        <v>39569</v>
      </c>
      <c r="O2" s="489">
        <f>E2+31</f>
        <v>39661</v>
      </c>
      <c r="P2" s="489">
        <f>F2+31</f>
        <v>39753</v>
      </c>
      <c r="Q2" s="491"/>
      <c r="R2" s="492"/>
      <c r="S2" s="491"/>
      <c r="T2" s="491"/>
      <c r="U2" s="489">
        <f>M2+L2</f>
        <v>39508</v>
      </c>
      <c r="V2" s="489">
        <f>N2+31</f>
        <v>39600</v>
      </c>
      <c r="W2" s="489">
        <f>O2+31</f>
        <v>39692</v>
      </c>
      <c r="X2" s="489">
        <f>P2+30</f>
        <v>39783</v>
      </c>
      <c r="Y2" s="491"/>
      <c r="Z2" s="491"/>
      <c r="AA2" s="491"/>
      <c r="AC2" s="493"/>
    </row>
    <row r="3" spans="1:29" ht="14.25" hidden="1" customHeight="1">
      <c r="A3" s="494" t="s">
        <v>882</v>
      </c>
      <c r="B3" s="495"/>
      <c r="C3" s="491">
        <f>IF(WEEKDAY($C$2)=1,1,0)</f>
        <v>0</v>
      </c>
      <c r="D3" s="491">
        <f>IF(WEEKDAY($C$2)=2,1,0)</f>
        <v>0</v>
      </c>
      <c r="E3" s="491">
        <f>IF(WEEKDAY($C$2)=3,1,0)</f>
        <v>1</v>
      </c>
      <c r="F3" s="491">
        <f>IF(WEEKDAY($C$2)=4,1,0)</f>
        <v>0</v>
      </c>
      <c r="G3" s="491">
        <f>IF(WEEKDAY($C$2)=5,1,0)</f>
        <v>0</v>
      </c>
      <c r="H3" s="491">
        <f>IF(WEEKDAY($C$2)=6,1,0)</f>
        <v>0</v>
      </c>
      <c r="I3" s="492">
        <f>IF(WEEKDAY($C$2)=7,1,0)</f>
        <v>0</v>
      </c>
      <c r="J3" s="495" t="s">
        <v>886</v>
      </c>
      <c r="K3" s="495"/>
      <c r="L3" s="491">
        <f>IF(WEEKDAY($M$2)=1,1,0)</f>
        <v>0</v>
      </c>
      <c r="M3" s="491">
        <f>IF(WEEKDAY($M$2)=2,1,0)</f>
        <v>0</v>
      </c>
      <c r="N3" s="491">
        <f>IF(WEEKDAY($M$2)=3,1,0)</f>
        <v>0</v>
      </c>
      <c r="O3" s="491">
        <f>IF(WEEKDAY($M$2)=4,1,0)</f>
        <v>0</v>
      </c>
      <c r="P3" s="491">
        <f>IF(WEEKDAY($M$2)=5,1,0)</f>
        <v>0</v>
      </c>
      <c r="Q3" s="491">
        <f>IF(WEEKDAY($M$2)=6,1,0)</f>
        <v>1</v>
      </c>
      <c r="R3" s="492">
        <f>IF(WEEKDAY($M$2)=7,1,0)</f>
        <v>0</v>
      </c>
      <c r="S3" s="495" t="s">
        <v>890</v>
      </c>
      <c r="T3" s="495"/>
      <c r="U3" s="491">
        <f>IF(WEEKDAY($U$2)=1,1,0)</f>
        <v>0</v>
      </c>
      <c r="V3" s="491">
        <f>IF(WEEKDAY($U$2)=2,1,0)</f>
        <v>0</v>
      </c>
      <c r="W3" s="491">
        <f>IF(WEEKDAY($U$2)=3,1,0)</f>
        <v>0</v>
      </c>
      <c r="X3" s="491">
        <f>IF(WEEKDAY($U$2)=4,1,0)</f>
        <v>0</v>
      </c>
      <c r="Y3" s="491">
        <f>IF(WEEKDAY($U$2)=5,1,0)</f>
        <v>0</v>
      </c>
      <c r="Z3" s="491">
        <f>IF(WEEKDAY($U$2)=6,1,0)</f>
        <v>0</v>
      </c>
      <c r="AA3" s="491">
        <f>IF(WEEKDAY($U$2)=7,1,0)</f>
        <v>1</v>
      </c>
    </row>
    <row r="4" spans="1:29" ht="16.5" hidden="1" customHeight="1">
      <c r="A4" s="494" t="s">
        <v>883</v>
      </c>
      <c r="B4" s="495"/>
      <c r="C4" s="491">
        <f>IF(WEEKDAY($D$2)=1,1,0)</f>
        <v>0</v>
      </c>
      <c r="D4" s="491">
        <f>IF(WEEKDAY($D$2)=2,1,0)</f>
        <v>0</v>
      </c>
      <c r="E4" s="491">
        <f>IF(WEEKDAY($D$2)=3,1,0)</f>
        <v>1</v>
      </c>
      <c r="F4" s="491">
        <f>IF(WEEKDAY($D$2)=4,1,0)</f>
        <v>0</v>
      </c>
      <c r="G4" s="491">
        <f>IF(WEEKDAY($D$2)=5,1,0)</f>
        <v>0</v>
      </c>
      <c r="H4" s="491">
        <f>IF(WEEKDAY($D$2)=6,1,0)</f>
        <v>0</v>
      </c>
      <c r="I4" s="492">
        <f>IF(WEEKDAY($D$2)=7,1,0)</f>
        <v>0</v>
      </c>
      <c r="J4" s="495" t="s">
        <v>887</v>
      </c>
      <c r="K4" s="495"/>
      <c r="L4" s="491">
        <f>IF(WEEKDAY($N$2)=1,1,0)</f>
        <v>0</v>
      </c>
      <c r="M4" s="491">
        <f>IF(WEEKDAY($N$2)=2,1,0)</f>
        <v>0</v>
      </c>
      <c r="N4" s="491">
        <f>IF(WEEKDAY($N$2)=3,1,0)</f>
        <v>0</v>
      </c>
      <c r="O4" s="491">
        <f>IF(WEEKDAY($N$2)=4,1,0)</f>
        <v>0</v>
      </c>
      <c r="P4" s="491">
        <f>IF(WEEKDAY($N$2)=5,1,0)</f>
        <v>1</v>
      </c>
      <c r="Q4" s="491">
        <f>IF(WEEKDAY($N$2)=6,1,0)</f>
        <v>0</v>
      </c>
      <c r="R4" s="492">
        <f>IF(WEEKDAY($N$2)=7,1,0)</f>
        <v>0</v>
      </c>
      <c r="S4" s="495" t="s">
        <v>891</v>
      </c>
      <c r="T4" s="495"/>
      <c r="U4" s="491">
        <f>IF(WEEKDAY($V$2)=1,1,0)</f>
        <v>1</v>
      </c>
      <c r="V4" s="491">
        <f>IF(WEEKDAY($V$2)=2,1,0)</f>
        <v>0</v>
      </c>
      <c r="W4" s="491">
        <f>IF(WEEKDAY($V$2)=3,1,0)</f>
        <v>0</v>
      </c>
      <c r="X4" s="491">
        <f>IF(WEEKDAY($V$2)=4,1,0)</f>
        <v>0</v>
      </c>
      <c r="Y4" s="491">
        <f>IF(WEEKDAY($V$2)=5,1,0)</f>
        <v>0</v>
      </c>
      <c r="Z4" s="491">
        <f>IF(WEEKDAY($V$2)=6,1,0)</f>
        <v>0</v>
      </c>
      <c r="AA4" s="491">
        <f>IF(WEEKDAY($V$2)=7,1,0)</f>
        <v>0</v>
      </c>
    </row>
    <row r="5" spans="1:29" ht="16.5" hidden="1" customHeight="1">
      <c r="A5" s="494" t="s">
        <v>884</v>
      </c>
      <c r="B5" s="495"/>
      <c r="C5" s="491">
        <f>IF(WEEKDAY($E$2)=1,1,0)</f>
        <v>0</v>
      </c>
      <c r="D5" s="491">
        <f>IF(WEEKDAY($E$2)=2,1,0)</f>
        <v>0</v>
      </c>
      <c r="E5" s="491">
        <f>IF(WEEKDAY($E$2)=3,1,0)</f>
        <v>1</v>
      </c>
      <c r="F5" s="491">
        <f>IF(WEEKDAY($E$2)=4,1,0)</f>
        <v>0</v>
      </c>
      <c r="G5" s="491">
        <f>IF(WEEKDAY($E$2)=5,1,0)</f>
        <v>0</v>
      </c>
      <c r="H5" s="491">
        <f>IF(WEEKDAY($E$2)=6,1,0)</f>
        <v>0</v>
      </c>
      <c r="I5" s="492">
        <f>IF(WEEKDAY($E$2)=7,1,0)</f>
        <v>0</v>
      </c>
      <c r="J5" s="495" t="s">
        <v>888</v>
      </c>
      <c r="K5" s="495"/>
      <c r="L5" s="491">
        <f>IF(WEEKDAY($O$2)=1,1,0)</f>
        <v>0</v>
      </c>
      <c r="M5" s="491">
        <f>IF(WEEKDAY($O$2)=2,1,0)</f>
        <v>0</v>
      </c>
      <c r="N5" s="491">
        <f>IF(WEEKDAY($O$2)=3,1,0)</f>
        <v>0</v>
      </c>
      <c r="O5" s="491">
        <f>IF(WEEKDAY($O$2)=4,1,0)</f>
        <v>0</v>
      </c>
      <c r="P5" s="491">
        <f>IF(WEEKDAY($O$2)=5,1,0)</f>
        <v>0</v>
      </c>
      <c r="Q5" s="491">
        <f>IF(WEEKDAY($O$2)=6,1,0)</f>
        <v>1</v>
      </c>
      <c r="R5" s="492">
        <f>IF(WEEKDAY($O$2)=7,1,0)</f>
        <v>0</v>
      </c>
      <c r="S5" s="495" t="s">
        <v>892</v>
      </c>
      <c r="T5" s="495"/>
      <c r="U5" s="491">
        <f>IF(WEEKDAY($W$2)=1,1,0)</f>
        <v>0</v>
      </c>
      <c r="V5" s="491">
        <f>IF(WEEKDAY($W$2)=2,1,0)</f>
        <v>1</v>
      </c>
      <c r="W5" s="491">
        <f>IF(WEEKDAY($W$2)=3,1,0)</f>
        <v>0</v>
      </c>
      <c r="X5" s="491">
        <f>IF(WEEKDAY($W$2)=4,1,0)</f>
        <v>0</v>
      </c>
      <c r="Y5" s="491">
        <f>IF(WEEKDAY($W$2)=5,1,0)</f>
        <v>0</v>
      </c>
      <c r="Z5" s="491">
        <f>IF(WEEKDAY($W$2)=6,1,0)</f>
        <v>0</v>
      </c>
      <c r="AA5" s="491">
        <f>IF(WEEKDAY($W$2)=7,1,0)</f>
        <v>0</v>
      </c>
    </row>
    <row r="6" spans="1:29" ht="20.25" hidden="1" customHeight="1">
      <c r="A6" s="494" t="s">
        <v>885</v>
      </c>
      <c r="B6" s="495"/>
      <c r="C6" s="491">
        <f>IF(WEEKDAY($F$2)=1,1,0)</f>
        <v>0</v>
      </c>
      <c r="D6" s="491">
        <f>IF(WEEKDAY($F$2)=2,1,0)</f>
        <v>0</v>
      </c>
      <c r="E6" s="491">
        <f>IF(WEEKDAY($F$2)=3,1,0)</f>
        <v>0</v>
      </c>
      <c r="F6" s="491">
        <f>IF(WEEKDAY($F$2)=4,1,0)</f>
        <v>1</v>
      </c>
      <c r="G6" s="491">
        <f>IF(WEEKDAY($F$2)=5,1,0)</f>
        <v>0</v>
      </c>
      <c r="H6" s="491">
        <f>IF(WEEKDAY($F$2)=6,1,0)</f>
        <v>0</v>
      </c>
      <c r="I6" s="492">
        <f>IF(WEEKDAY($F$2)=7,1,0)</f>
        <v>0</v>
      </c>
      <c r="J6" s="495" t="s">
        <v>889</v>
      </c>
      <c r="K6" s="495"/>
      <c r="L6" s="491">
        <f>IF(WEEKDAY($P$2)=1,1,0)</f>
        <v>0</v>
      </c>
      <c r="M6" s="491">
        <f>IF(WEEKDAY($P$2)=2,1,0)</f>
        <v>0</v>
      </c>
      <c r="N6" s="491">
        <f>IF(WEEKDAY($P$2)=3,1,0)</f>
        <v>0</v>
      </c>
      <c r="O6" s="491">
        <f>IF(WEEKDAY($P$2)=4,1,0)</f>
        <v>0</v>
      </c>
      <c r="P6" s="491">
        <f>IF(WEEKDAY($P$2)=5,1,0)</f>
        <v>0</v>
      </c>
      <c r="Q6" s="491">
        <f>IF(WEEKDAY($P$2)=6,1,0)</f>
        <v>0</v>
      </c>
      <c r="R6" s="492">
        <f>IF(WEEKDAY($P$2)=7,1,0)</f>
        <v>1</v>
      </c>
      <c r="S6" s="495" t="s">
        <v>893</v>
      </c>
      <c r="T6" s="495"/>
      <c r="U6" s="491">
        <f>IF(WEEKDAY($X$2)=1,1,0)</f>
        <v>0</v>
      </c>
      <c r="V6" s="491">
        <f>IF(WEEKDAY($X$2)=2,1,0)</f>
        <v>1</v>
      </c>
      <c r="W6" s="491">
        <f>IF(WEEKDAY($X$2)=3,1,0)</f>
        <v>0</v>
      </c>
      <c r="X6" s="491">
        <f>IF(WEEKDAY($X$2)=4,1,0)</f>
        <v>0</v>
      </c>
      <c r="Y6" s="491">
        <f>IF(WEEKDAY($X$2)=5,1,0)</f>
        <v>0</v>
      </c>
      <c r="Z6" s="491">
        <f>IF(WEEKDAY($X$2)=6,1,0)</f>
        <v>0</v>
      </c>
      <c r="AA6" s="491">
        <f>IF(WEEKDAY($X$2)=7,1,0)</f>
        <v>0</v>
      </c>
    </row>
    <row r="7" spans="1:29" ht="14.25" hidden="1" customHeight="1"/>
    <row r="8" spans="1:29" ht="24.75" customHeight="1">
      <c r="A8" s="496"/>
      <c r="B8" s="497"/>
      <c r="C8" s="498" t="s">
        <v>894</v>
      </c>
      <c r="D8" s="499"/>
      <c r="E8" s="499"/>
      <c r="F8" s="499"/>
      <c r="G8" s="499"/>
      <c r="H8" s="500"/>
      <c r="I8" s="577">
        <v>2008</v>
      </c>
      <c r="J8" s="577"/>
      <c r="K8" s="577"/>
      <c r="N8" s="501" t="s">
        <v>895</v>
      </c>
      <c r="O8" s="502"/>
      <c r="P8" s="502"/>
      <c r="Q8" s="502"/>
      <c r="R8" s="502"/>
      <c r="S8" s="502"/>
    </row>
    <row r="9" spans="1:29" ht="15.75" customHeight="1" thickBot="1">
      <c r="A9" s="503"/>
      <c r="B9" s="503"/>
      <c r="C9" s="504" t="s">
        <v>896</v>
      </c>
      <c r="D9" s="505"/>
      <c r="E9" s="505"/>
      <c r="F9" s="505"/>
      <c r="G9" s="505"/>
      <c r="H9" s="500"/>
      <c r="I9" s="506"/>
      <c r="J9" s="506"/>
      <c r="K9" s="506"/>
    </row>
    <row r="10" spans="1:29" ht="7.5" customHeight="1">
      <c r="A10" s="507"/>
      <c r="B10" s="508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10"/>
    </row>
    <row r="11" spans="1:29" ht="7.5" customHeight="1">
      <c r="A11" s="511"/>
      <c r="B11" s="512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4"/>
    </row>
    <row r="12" spans="1:29" ht="25.2">
      <c r="A12" s="515"/>
      <c r="B12" s="516"/>
      <c r="C12" s="517"/>
      <c r="D12" s="517"/>
      <c r="E12" s="517"/>
      <c r="F12" s="517"/>
      <c r="G12" s="517"/>
      <c r="H12" s="517"/>
      <c r="I12" s="517"/>
      <c r="J12" s="579" t="s">
        <v>897</v>
      </c>
      <c r="K12" s="579"/>
      <c r="L12" s="579"/>
      <c r="M12" s="579"/>
      <c r="N12" s="579"/>
      <c r="O12" s="579"/>
      <c r="P12" s="578">
        <f>I8</f>
        <v>2008</v>
      </c>
      <c r="Q12" s="578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8"/>
    </row>
    <row r="13" spans="1:29" ht="21">
      <c r="A13" s="515"/>
      <c r="B13" s="516"/>
      <c r="C13" s="517"/>
      <c r="D13" s="517"/>
      <c r="E13" s="517"/>
      <c r="F13" s="517"/>
      <c r="G13" s="517"/>
      <c r="H13" s="517"/>
      <c r="I13" s="517"/>
      <c r="J13" s="519"/>
      <c r="K13" s="519"/>
      <c r="L13" s="519"/>
      <c r="M13" s="519"/>
      <c r="N13" s="519"/>
      <c r="O13" s="519"/>
      <c r="P13" s="520"/>
      <c r="Q13" s="520"/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8"/>
    </row>
    <row r="14" spans="1:29" ht="13.2">
      <c r="A14" s="511"/>
      <c r="B14" s="512"/>
      <c r="C14" s="513"/>
      <c r="D14" s="513"/>
      <c r="E14" s="521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513"/>
      <c r="Y14" s="513"/>
      <c r="Z14" s="513"/>
      <c r="AA14" s="513"/>
      <c r="AB14" s="514"/>
    </row>
    <row r="15" spans="1:29" ht="13.2">
      <c r="A15" s="511"/>
      <c r="B15" s="512"/>
      <c r="C15" s="513"/>
      <c r="D15" s="513"/>
      <c r="E15" s="521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4"/>
    </row>
    <row r="16" spans="1:29" ht="13.2">
      <c r="A16" s="511"/>
      <c r="B16" s="512"/>
      <c r="C16" s="513"/>
      <c r="D16" s="513"/>
      <c r="E16" s="521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4"/>
    </row>
    <row r="17" spans="1:28" ht="13.2">
      <c r="A17" s="511"/>
      <c r="B17" s="512"/>
      <c r="C17" s="513"/>
      <c r="D17" s="513"/>
      <c r="E17" s="521"/>
      <c r="F17" s="513"/>
      <c r="G17" s="513"/>
      <c r="H17" s="513"/>
      <c r="I17" s="513"/>
      <c r="J17" s="513"/>
      <c r="K17" s="513"/>
      <c r="L17" s="513"/>
      <c r="M17" s="513"/>
      <c r="N17" s="521"/>
      <c r="O17" s="513"/>
      <c r="P17" s="513"/>
      <c r="Q17" s="513"/>
      <c r="R17" s="513"/>
      <c r="S17" s="513"/>
      <c r="T17" s="513"/>
      <c r="U17" s="513"/>
      <c r="V17" s="513"/>
      <c r="W17" s="513"/>
      <c r="X17" s="521"/>
      <c r="Y17" s="513"/>
      <c r="Z17" s="513"/>
      <c r="AA17" s="513"/>
      <c r="AB17" s="514"/>
    </row>
    <row r="18" spans="1:28" ht="13.2">
      <c r="A18" s="511"/>
      <c r="B18" s="512"/>
      <c r="C18" s="513"/>
      <c r="D18" s="513"/>
      <c r="E18" s="521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  <c r="AA18" s="513"/>
      <c r="AB18" s="514"/>
    </row>
    <row r="19" spans="1:28" ht="13.2">
      <c r="A19" s="511"/>
      <c r="B19" s="512"/>
      <c r="C19" s="513"/>
      <c r="D19" s="513"/>
      <c r="E19" s="521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4"/>
    </row>
    <row r="20" spans="1:28" ht="13.2">
      <c r="A20" s="511"/>
      <c r="B20" s="512"/>
      <c r="C20" s="513"/>
      <c r="D20" s="513"/>
      <c r="E20" s="521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4"/>
    </row>
    <row r="21" spans="1:28" s="525" customFormat="1" ht="18" customHeight="1" thickBot="1">
      <c r="A21" s="522"/>
      <c r="B21" s="580" t="s">
        <v>898</v>
      </c>
      <c r="C21" s="580"/>
      <c r="D21" s="580"/>
      <c r="E21" s="580"/>
      <c r="F21" s="580"/>
      <c r="G21" s="580"/>
      <c r="H21" s="580"/>
      <c r="I21" s="580"/>
      <c r="J21" s="523"/>
      <c r="K21" s="574" t="s">
        <v>899</v>
      </c>
      <c r="L21" s="574"/>
      <c r="M21" s="574"/>
      <c r="N21" s="574"/>
      <c r="O21" s="574"/>
      <c r="P21" s="574"/>
      <c r="Q21" s="574"/>
      <c r="R21" s="574"/>
      <c r="S21" s="523"/>
      <c r="T21" s="573" t="s">
        <v>900</v>
      </c>
      <c r="U21" s="573"/>
      <c r="V21" s="573"/>
      <c r="W21" s="573"/>
      <c r="X21" s="573"/>
      <c r="Y21" s="573"/>
      <c r="Z21" s="573"/>
      <c r="AA21" s="573"/>
      <c r="AB21" s="524"/>
    </row>
    <row r="22" spans="1:28" ht="18" customHeight="1">
      <c r="A22" s="526"/>
      <c r="B22" s="527" t="s">
        <v>901</v>
      </c>
      <c r="C22" s="528" t="s">
        <v>902</v>
      </c>
      <c r="D22" s="529" t="s">
        <v>903</v>
      </c>
      <c r="E22" s="529" t="s">
        <v>904</v>
      </c>
      <c r="F22" s="529" t="s">
        <v>905</v>
      </c>
      <c r="G22" s="529" t="s">
        <v>906</v>
      </c>
      <c r="H22" s="529" t="s">
        <v>907</v>
      </c>
      <c r="I22" s="530" t="s">
        <v>908</v>
      </c>
      <c r="J22" s="531"/>
      <c r="K22" s="527" t="s">
        <v>901</v>
      </c>
      <c r="L22" s="528" t="s">
        <v>902</v>
      </c>
      <c r="M22" s="529" t="s">
        <v>903</v>
      </c>
      <c r="N22" s="529" t="s">
        <v>904</v>
      </c>
      <c r="O22" s="529" t="s">
        <v>905</v>
      </c>
      <c r="P22" s="529" t="s">
        <v>906</v>
      </c>
      <c r="Q22" s="529" t="s">
        <v>907</v>
      </c>
      <c r="R22" s="530" t="s">
        <v>908</v>
      </c>
      <c r="S22" s="531"/>
      <c r="T22" s="527" t="s">
        <v>901</v>
      </c>
      <c r="U22" s="528" t="s">
        <v>902</v>
      </c>
      <c r="V22" s="529" t="s">
        <v>903</v>
      </c>
      <c r="W22" s="529" t="s">
        <v>904</v>
      </c>
      <c r="X22" s="529" t="s">
        <v>905</v>
      </c>
      <c r="Y22" s="529" t="s">
        <v>906</v>
      </c>
      <c r="Z22" s="529" t="s">
        <v>907</v>
      </c>
      <c r="AA22" s="530" t="s">
        <v>908</v>
      </c>
      <c r="AB22" s="514"/>
    </row>
    <row r="23" spans="1:28" ht="18" customHeight="1">
      <c r="A23" s="532"/>
      <c r="B23" s="533">
        <v>1</v>
      </c>
      <c r="C23" s="534">
        <f>IF($C$3=1,1,0)</f>
        <v>0</v>
      </c>
      <c r="D23" s="535">
        <f>IF($D$3=1,1, IF(C23&gt;0,C23+1, 0))</f>
        <v>0</v>
      </c>
      <c r="E23" s="535">
        <f>IF($E$3=1,1, IF(D23&gt;0,D23+1, 0))</f>
        <v>1</v>
      </c>
      <c r="F23" s="535">
        <f>IF($F$3=1,1, IF(E23&gt;0,E23+1, 0))</f>
        <v>2</v>
      </c>
      <c r="G23" s="535">
        <f>IF($G$3=1,1, IF(F23&gt;0,F23+1, 0))</f>
        <v>3</v>
      </c>
      <c r="H23" s="535">
        <f>IF($H$3=1,1, IF(G23&gt;0,G23+1, 0))</f>
        <v>4</v>
      </c>
      <c r="I23" s="536">
        <f>IF($I$3=1,1, IF(H23&gt;0,H23+1, 0))</f>
        <v>5</v>
      </c>
      <c r="J23" s="537"/>
      <c r="K23" s="538">
        <f>IF(B28&gt;0,B27+1,B27)</f>
        <v>5</v>
      </c>
      <c r="L23" s="534">
        <f>IF($L$3=1,1,0)</f>
        <v>0</v>
      </c>
      <c r="M23" s="535">
        <f>IF($M$3=1,1, IF(L23&gt;0,L23+1, 0))</f>
        <v>0</v>
      </c>
      <c r="N23" s="535">
        <f>IF($N$3=1,1, IF(M23&gt;0,M23+1, 0))</f>
        <v>0</v>
      </c>
      <c r="O23" s="535">
        <f>IF($O$3=1,1, IF(N23&gt;0,N23+1, 0))</f>
        <v>0</v>
      </c>
      <c r="P23" s="535">
        <f>IF($P$3=1,1, IF(O23&gt;0,O23+1, 0))</f>
        <v>0</v>
      </c>
      <c r="Q23" s="535">
        <f>IF($Q$3=1,1, IF(P23&gt;0,P23+1, 0))</f>
        <v>1</v>
      </c>
      <c r="R23" s="536">
        <f>IF($R$3=1,1, IF(Q23&gt;0,Q23+1, 0))</f>
        <v>2</v>
      </c>
      <c r="S23" s="537"/>
      <c r="T23" s="538">
        <f>IF(K28&gt;0,K27+1,K27)</f>
        <v>9</v>
      </c>
      <c r="U23" s="534">
        <f>IF($U$3=1,1,0)</f>
        <v>0</v>
      </c>
      <c r="V23" s="535">
        <f>IF($V$3=1,1, IF(U23&gt;0,U23+1, 0))</f>
        <v>0</v>
      </c>
      <c r="W23" s="535">
        <f>IF($W$3=1,1, IF(V23&gt;0,V23+1, 0))</f>
        <v>0</v>
      </c>
      <c r="X23" s="535">
        <f>IF($X$3=1,1, IF(W23&gt;0,W23+1, 0))</f>
        <v>0</v>
      </c>
      <c r="Y23" s="535">
        <f>IF($Y$3=1,1, IF(X23&gt;0,X23+1, 0))</f>
        <v>0</v>
      </c>
      <c r="Z23" s="535">
        <f>IF($Z$3=1,1, IF(Y23&gt;0,Y23+1, 0))</f>
        <v>0</v>
      </c>
      <c r="AA23" s="536">
        <f>IF($AA$3=1,1, IF(Z23&gt;0,Z23+1, 0))</f>
        <v>1</v>
      </c>
      <c r="AB23" s="514"/>
    </row>
    <row r="24" spans="1:28" ht="18" customHeight="1">
      <c r="A24" s="532"/>
      <c r="B24" s="539">
        <f>B23+1</f>
        <v>2</v>
      </c>
      <c r="C24" s="540">
        <f>IF(AND(I23&gt;0,I23&lt;31),I23+1,0)</f>
        <v>6</v>
      </c>
      <c r="D24" s="541">
        <f t="shared" ref="D24:I28" si="0">IF(AND(C24&gt;0,C24&lt;31),C24+1,0)</f>
        <v>7</v>
      </c>
      <c r="E24" s="541">
        <f t="shared" si="0"/>
        <v>8</v>
      </c>
      <c r="F24" s="541">
        <f t="shared" si="0"/>
        <v>9</v>
      </c>
      <c r="G24" s="541">
        <f t="shared" si="0"/>
        <v>10</v>
      </c>
      <c r="H24" s="541">
        <f t="shared" si="0"/>
        <v>11</v>
      </c>
      <c r="I24" s="542">
        <f t="shared" si="0"/>
        <v>12</v>
      </c>
      <c r="J24" s="537"/>
      <c r="K24" s="538">
        <f>K23+1</f>
        <v>6</v>
      </c>
      <c r="L24" s="540">
        <f>IF(AND(R23&gt;0,R23&lt;$L$2),R23+1,0)</f>
        <v>3</v>
      </c>
      <c r="M24" s="541">
        <f t="shared" ref="M24:R28" si="1">IF(AND(L24&gt;0,L24&lt;$L$2),L24+1,0)</f>
        <v>4</v>
      </c>
      <c r="N24" s="541">
        <f t="shared" si="1"/>
        <v>5</v>
      </c>
      <c r="O24" s="541">
        <f t="shared" si="1"/>
        <v>6</v>
      </c>
      <c r="P24" s="541">
        <f t="shared" si="1"/>
        <v>7</v>
      </c>
      <c r="Q24" s="541">
        <f t="shared" si="1"/>
        <v>8</v>
      </c>
      <c r="R24" s="542">
        <f t="shared" si="1"/>
        <v>9</v>
      </c>
      <c r="S24" s="537"/>
      <c r="T24" s="538">
        <f>T23+1</f>
        <v>10</v>
      </c>
      <c r="U24" s="540">
        <f>IF(AND(AA23&gt;0,AA23&lt;31),AA23+1,0)</f>
        <v>2</v>
      </c>
      <c r="V24" s="541">
        <f t="shared" ref="V24:AA28" si="2">IF(AND(U24&gt;0,U24&lt;31),U24+1,0)</f>
        <v>3</v>
      </c>
      <c r="W24" s="541">
        <f t="shared" si="2"/>
        <v>4</v>
      </c>
      <c r="X24" s="541">
        <f t="shared" si="2"/>
        <v>5</v>
      </c>
      <c r="Y24" s="541">
        <f t="shared" si="2"/>
        <v>6</v>
      </c>
      <c r="Z24" s="541">
        <f t="shared" si="2"/>
        <v>7</v>
      </c>
      <c r="AA24" s="542">
        <f t="shared" si="2"/>
        <v>8</v>
      </c>
      <c r="AB24" s="514"/>
    </row>
    <row r="25" spans="1:28" ht="18" customHeight="1">
      <c r="A25" s="532"/>
      <c r="B25" s="539">
        <f>B24+1</f>
        <v>3</v>
      </c>
      <c r="C25" s="540">
        <f>IF(AND(I24&gt;0,I24&lt;31),I24+1,0)</f>
        <v>13</v>
      </c>
      <c r="D25" s="541">
        <f t="shared" si="0"/>
        <v>14</v>
      </c>
      <c r="E25" s="541">
        <f t="shared" si="0"/>
        <v>15</v>
      </c>
      <c r="F25" s="541">
        <f t="shared" si="0"/>
        <v>16</v>
      </c>
      <c r="G25" s="541">
        <f t="shared" si="0"/>
        <v>17</v>
      </c>
      <c r="H25" s="541">
        <f t="shared" si="0"/>
        <v>18</v>
      </c>
      <c r="I25" s="542">
        <f t="shared" si="0"/>
        <v>19</v>
      </c>
      <c r="J25" s="537"/>
      <c r="K25" s="538">
        <f>K24+1</f>
        <v>7</v>
      </c>
      <c r="L25" s="540">
        <f>IF(AND(R24&gt;0,R24&lt;$L$2),R24+1,0)</f>
        <v>10</v>
      </c>
      <c r="M25" s="541">
        <f t="shared" si="1"/>
        <v>11</v>
      </c>
      <c r="N25" s="541">
        <f t="shared" si="1"/>
        <v>12</v>
      </c>
      <c r="O25" s="541">
        <f t="shared" si="1"/>
        <v>13</v>
      </c>
      <c r="P25" s="541">
        <f t="shared" si="1"/>
        <v>14</v>
      </c>
      <c r="Q25" s="541">
        <f t="shared" si="1"/>
        <v>15</v>
      </c>
      <c r="R25" s="542">
        <f t="shared" si="1"/>
        <v>16</v>
      </c>
      <c r="S25" s="537"/>
      <c r="T25" s="538">
        <f>T24+1</f>
        <v>11</v>
      </c>
      <c r="U25" s="540">
        <f>IF(AND(AA24&gt;0,AA24&lt;31),AA24+1,0)</f>
        <v>9</v>
      </c>
      <c r="V25" s="541">
        <f t="shared" si="2"/>
        <v>10</v>
      </c>
      <c r="W25" s="541">
        <f t="shared" si="2"/>
        <v>11</v>
      </c>
      <c r="X25" s="541">
        <f t="shared" si="2"/>
        <v>12</v>
      </c>
      <c r="Y25" s="541">
        <f t="shared" si="2"/>
        <v>13</v>
      </c>
      <c r="Z25" s="541">
        <f t="shared" si="2"/>
        <v>14</v>
      </c>
      <c r="AA25" s="542">
        <f t="shared" si="2"/>
        <v>15</v>
      </c>
      <c r="AB25" s="514"/>
    </row>
    <row r="26" spans="1:28" ht="18" customHeight="1">
      <c r="A26" s="532"/>
      <c r="B26" s="539">
        <f>B25+1</f>
        <v>4</v>
      </c>
      <c r="C26" s="540">
        <f>IF(AND(I25&gt;0,I25&lt;31),I25+1,0)</f>
        <v>20</v>
      </c>
      <c r="D26" s="541">
        <f t="shared" si="0"/>
        <v>21</v>
      </c>
      <c r="E26" s="541">
        <f t="shared" si="0"/>
        <v>22</v>
      </c>
      <c r="F26" s="541">
        <f t="shared" si="0"/>
        <v>23</v>
      </c>
      <c r="G26" s="541">
        <f t="shared" si="0"/>
        <v>24</v>
      </c>
      <c r="H26" s="541">
        <f t="shared" si="0"/>
        <v>25</v>
      </c>
      <c r="I26" s="542">
        <f t="shared" si="0"/>
        <v>26</v>
      </c>
      <c r="J26" s="537"/>
      <c r="K26" s="538">
        <f>K25+1</f>
        <v>8</v>
      </c>
      <c r="L26" s="540">
        <f>IF(AND(R25&gt;0,R25&lt;$L$2),R25+1,0)</f>
        <v>17</v>
      </c>
      <c r="M26" s="541">
        <f t="shared" si="1"/>
        <v>18</v>
      </c>
      <c r="N26" s="541">
        <f t="shared" si="1"/>
        <v>19</v>
      </c>
      <c r="O26" s="541">
        <f t="shared" si="1"/>
        <v>20</v>
      </c>
      <c r="P26" s="541">
        <f t="shared" si="1"/>
        <v>21</v>
      </c>
      <c r="Q26" s="541">
        <f t="shared" si="1"/>
        <v>22</v>
      </c>
      <c r="R26" s="542">
        <f t="shared" si="1"/>
        <v>23</v>
      </c>
      <c r="S26" s="537"/>
      <c r="T26" s="538">
        <f>T25+1</f>
        <v>12</v>
      </c>
      <c r="U26" s="540">
        <f>IF(AND(AA25&gt;0,AA25&lt;31),AA25+1,0)</f>
        <v>16</v>
      </c>
      <c r="V26" s="541">
        <f t="shared" si="2"/>
        <v>17</v>
      </c>
      <c r="W26" s="541">
        <f t="shared" si="2"/>
        <v>18</v>
      </c>
      <c r="X26" s="541">
        <f t="shared" si="2"/>
        <v>19</v>
      </c>
      <c r="Y26" s="541">
        <f t="shared" si="2"/>
        <v>20</v>
      </c>
      <c r="Z26" s="541">
        <f t="shared" si="2"/>
        <v>21</v>
      </c>
      <c r="AA26" s="542">
        <f t="shared" si="2"/>
        <v>22</v>
      </c>
      <c r="AB26" s="514"/>
    </row>
    <row r="27" spans="1:28" ht="18" customHeight="1">
      <c r="A27" s="532"/>
      <c r="B27" s="539">
        <f>B26+1</f>
        <v>5</v>
      </c>
      <c r="C27" s="540">
        <f>IF(AND(I26&gt;0,I26&lt;31),I26+1,0)</f>
        <v>27</v>
      </c>
      <c r="D27" s="541">
        <f t="shared" si="0"/>
        <v>28</v>
      </c>
      <c r="E27" s="541">
        <f t="shared" si="0"/>
        <v>29</v>
      </c>
      <c r="F27" s="541">
        <f t="shared" si="0"/>
        <v>30</v>
      </c>
      <c r="G27" s="541">
        <f t="shared" si="0"/>
        <v>31</v>
      </c>
      <c r="H27" s="541">
        <f t="shared" si="0"/>
        <v>0</v>
      </c>
      <c r="I27" s="542">
        <f t="shared" si="0"/>
        <v>0</v>
      </c>
      <c r="J27" s="537"/>
      <c r="K27" s="538">
        <f>K26+1</f>
        <v>9</v>
      </c>
      <c r="L27" s="540">
        <f>IF(AND(R26&gt;0,R26&lt;$L$2),R26+1,0)</f>
        <v>24</v>
      </c>
      <c r="M27" s="541">
        <f t="shared" si="1"/>
        <v>25</v>
      </c>
      <c r="N27" s="541">
        <f t="shared" si="1"/>
        <v>26</v>
      </c>
      <c r="O27" s="541">
        <f t="shared" si="1"/>
        <v>27</v>
      </c>
      <c r="P27" s="541">
        <f t="shared" si="1"/>
        <v>28</v>
      </c>
      <c r="Q27" s="541">
        <f t="shared" si="1"/>
        <v>29</v>
      </c>
      <c r="R27" s="542">
        <f t="shared" si="1"/>
        <v>0</v>
      </c>
      <c r="S27" s="537"/>
      <c r="T27" s="538">
        <f>T26+1</f>
        <v>13</v>
      </c>
      <c r="U27" s="540">
        <f>IF(AND(AA26&gt;0,AA26&lt;31),AA26+1,0)</f>
        <v>23</v>
      </c>
      <c r="V27" s="541">
        <f t="shared" si="2"/>
        <v>24</v>
      </c>
      <c r="W27" s="541">
        <f t="shared" si="2"/>
        <v>25</v>
      </c>
      <c r="X27" s="541">
        <f t="shared" si="2"/>
        <v>26</v>
      </c>
      <c r="Y27" s="541">
        <f t="shared" si="2"/>
        <v>27</v>
      </c>
      <c r="Z27" s="543">
        <f t="shared" si="2"/>
        <v>28</v>
      </c>
      <c r="AA27" s="542">
        <f t="shared" si="2"/>
        <v>29</v>
      </c>
      <c r="AB27" s="514"/>
    </row>
    <row r="28" spans="1:28" ht="18" customHeight="1" thickBot="1">
      <c r="A28" s="532"/>
      <c r="B28" s="544">
        <f>IF(C28=0,0,B27+1)</f>
        <v>0</v>
      </c>
      <c r="C28" s="545">
        <f>IF(AND(I27&gt;0,I27&lt;31),I27+1,0)</f>
        <v>0</v>
      </c>
      <c r="D28" s="546">
        <f t="shared" si="0"/>
        <v>0</v>
      </c>
      <c r="E28" s="546">
        <f t="shared" si="0"/>
        <v>0</v>
      </c>
      <c r="F28" s="546">
        <f t="shared" si="0"/>
        <v>0</v>
      </c>
      <c r="G28" s="546">
        <f t="shared" si="0"/>
        <v>0</v>
      </c>
      <c r="H28" s="546">
        <f t="shared" si="0"/>
        <v>0</v>
      </c>
      <c r="I28" s="547">
        <f t="shared" si="0"/>
        <v>0</v>
      </c>
      <c r="J28" s="537"/>
      <c r="K28" s="548">
        <f>IF(L28=0,0,K27+1)</f>
        <v>0</v>
      </c>
      <c r="L28" s="549">
        <f>IF(AND(R27&gt;0,R27&lt;$L$2),R27+1,0)</f>
        <v>0</v>
      </c>
      <c r="M28" s="546">
        <f t="shared" si="1"/>
        <v>0</v>
      </c>
      <c r="N28" s="546">
        <f t="shared" si="1"/>
        <v>0</v>
      </c>
      <c r="O28" s="546">
        <f t="shared" si="1"/>
        <v>0</v>
      </c>
      <c r="P28" s="546">
        <f t="shared" si="1"/>
        <v>0</v>
      </c>
      <c r="Q28" s="546">
        <f t="shared" si="1"/>
        <v>0</v>
      </c>
      <c r="R28" s="547">
        <f t="shared" si="1"/>
        <v>0</v>
      </c>
      <c r="S28" s="537"/>
      <c r="T28" s="548">
        <f>IF(U28=0,0,T27+1)</f>
        <v>14</v>
      </c>
      <c r="U28" s="549">
        <f>IF(AND(AA27&gt;0,AA27&lt;31),AA27+1,0)</f>
        <v>30</v>
      </c>
      <c r="V28" s="546">
        <f t="shared" si="2"/>
        <v>31</v>
      </c>
      <c r="W28" s="546">
        <f t="shared" si="2"/>
        <v>0</v>
      </c>
      <c r="X28" s="546">
        <f t="shared" si="2"/>
        <v>0</v>
      </c>
      <c r="Y28" s="546">
        <f t="shared" si="2"/>
        <v>0</v>
      </c>
      <c r="Z28" s="546">
        <f t="shared" si="2"/>
        <v>0</v>
      </c>
      <c r="AA28" s="547">
        <f t="shared" si="2"/>
        <v>0</v>
      </c>
      <c r="AB28" s="514"/>
    </row>
    <row r="29" spans="1:28" ht="18" customHeight="1">
      <c r="A29" s="532"/>
      <c r="B29" s="550"/>
      <c r="C29" s="551"/>
      <c r="D29" s="513"/>
      <c r="E29" s="513"/>
      <c r="F29" s="513"/>
      <c r="G29" s="513"/>
      <c r="H29" s="552"/>
      <c r="I29" s="551"/>
      <c r="J29" s="537"/>
      <c r="K29" s="550"/>
      <c r="L29" s="551"/>
      <c r="M29" s="513"/>
      <c r="N29" s="513"/>
      <c r="O29" s="513"/>
      <c r="P29" s="513"/>
      <c r="Q29" s="552"/>
      <c r="R29" s="551"/>
      <c r="S29" s="537"/>
      <c r="T29" s="550"/>
      <c r="U29" s="551"/>
      <c r="V29" s="513"/>
      <c r="W29" s="513"/>
      <c r="X29" s="513"/>
      <c r="Y29" s="513"/>
      <c r="Z29" s="552"/>
      <c r="AA29" s="551"/>
      <c r="AB29" s="514"/>
    </row>
    <row r="30" spans="1:28" ht="18" customHeight="1">
      <c r="A30" s="532"/>
      <c r="B30" s="550"/>
      <c r="C30" s="551"/>
      <c r="D30" s="513"/>
      <c r="E30" s="513"/>
      <c r="F30" s="513"/>
      <c r="G30" s="513"/>
      <c r="H30" s="552"/>
      <c r="I30" s="551"/>
      <c r="J30" s="537"/>
      <c r="K30" s="550"/>
      <c r="L30" s="551"/>
      <c r="M30" s="513"/>
      <c r="N30" s="513"/>
      <c r="O30" s="513"/>
      <c r="P30" s="513"/>
      <c r="Q30" s="552"/>
      <c r="R30" s="551"/>
      <c r="S30" s="537"/>
      <c r="T30" s="550"/>
      <c r="U30" s="551"/>
      <c r="V30" s="513"/>
      <c r="W30" s="513"/>
      <c r="X30" s="513"/>
      <c r="Y30" s="513"/>
      <c r="Z30" s="552"/>
      <c r="AA30" s="551"/>
      <c r="AB30" s="514"/>
    </row>
    <row r="31" spans="1:28" ht="18" customHeight="1">
      <c r="A31" s="532"/>
      <c r="B31" s="550"/>
      <c r="C31" s="551"/>
      <c r="D31" s="513"/>
      <c r="E31" s="513"/>
      <c r="F31" s="513"/>
      <c r="G31" s="521"/>
      <c r="H31" s="552"/>
      <c r="I31" s="551"/>
      <c r="J31" s="537"/>
      <c r="K31" s="521"/>
      <c r="L31" s="551"/>
      <c r="M31" s="513"/>
      <c r="N31" s="521"/>
      <c r="O31" s="513"/>
      <c r="P31" s="513"/>
      <c r="Q31" s="552"/>
      <c r="R31" s="551"/>
      <c r="S31" s="537"/>
      <c r="T31" s="550"/>
      <c r="U31" s="551"/>
      <c r="V31" s="513"/>
      <c r="W31" s="513"/>
      <c r="X31" s="513"/>
      <c r="Y31" s="513"/>
      <c r="Z31" s="552"/>
      <c r="AA31" s="551"/>
      <c r="AB31" s="514"/>
    </row>
    <row r="32" spans="1:28" ht="18" customHeight="1">
      <c r="A32" s="532"/>
      <c r="B32" s="550"/>
      <c r="C32" s="551"/>
      <c r="D32" s="513"/>
      <c r="E32" s="513"/>
      <c r="F32" s="513"/>
      <c r="G32" s="513"/>
      <c r="H32" s="552"/>
      <c r="I32" s="551"/>
      <c r="J32" s="537"/>
      <c r="K32" s="550"/>
      <c r="L32" s="551"/>
      <c r="M32" s="513"/>
      <c r="N32" s="513"/>
      <c r="O32" s="513"/>
      <c r="P32" s="513"/>
      <c r="Q32" s="552"/>
      <c r="R32" s="551"/>
      <c r="S32" s="537"/>
      <c r="T32" s="550"/>
      <c r="U32" s="551"/>
      <c r="V32" s="513"/>
      <c r="W32" s="513"/>
      <c r="X32" s="513"/>
      <c r="Y32" s="513"/>
      <c r="Z32" s="552"/>
      <c r="AA32" s="551"/>
      <c r="AB32" s="514"/>
    </row>
    <row r="33" spans="1:28" ht="18" customHeight="1">
      <c r="A33" s="532"/>
      <c r="B33" s="550"/>
      <c r="C33" s="551"/>
      <c r="D33" s="513"/>
      <c r="E33" s="513"/>
      <c r="F33" s="513"/>
      <c r="G33" s="513"/>
      <c r="H33" s="552"/>
      <c r="I33" s="551"/>
      <c r="J33" s="537"/>
      <c r="K33" s="550"/>
      <c r="L33" s="551"/>
      <c r="M33" s="513"/>
      <c r="N33" s="513"/>
      <c r="O33" s="513"/>
      <c r="P33" s="513"/>
      <c r="Q33" s="552"/>
      <c r="R33" s="551"/>
      <c r="S33" s="537"/>
      <c r="T33" s="550"/>
      <c r="U33" s="551"/>
      <c r="V33" s="513"/>
      <c r="W33" s="513"/>
      <c r="X33" s="513"/>
      <c r="Y33" s="513"/>
      <c r="Z33" s="552"/>
      <c r="AA33" s="551"/>
      <c r="AB33" s="514"/>
    </row>
    <row r="34" spans="1:28" ht="18" customHeight="1">
      <c r="A34" s="532"/>
      <c r="B34" s="537"/>
      <c r="C34" s="513"/>
      <c r="D34" s="513"/>
      <c r="E34" s="513"/>
      <c r="F34" s="513"/>
      <c r="G34" s="513"/>
      <c r="H34" s="513"/>
      <c r="I34" s="513"/>
      <c r="J34" s="537"/>
      <c r="K34" s="537"/>
      <c r="L34" s="513"/>
      <c r="M34" s="513"/>
      <c r="N34" s="513"/>
      <c r="O34" s="513"/>
      <c r="P34" s="513"/>
      <c r="Q34" s="513"/>
      <c r="R34" s="513"/>
      <c r="S34" s="537"/>
      <c r="T34" s="537"/>
      <c r="U34" s="513"/>
      <c r="V34" s="513"/>
      <c r="W34" s="513"/>
      <c r="X34" s="513"/>
      <c r="Y34" s="513"/>
      <c r="Z34" s="513"/>
      <c r="AA34" s="513"/>
      <c r="AB34" s="514"/>
    </row>
    <row r="35" spans="1:28" s="525" customFormat="1" ht="18" customHeight="1" thickBot="1">
      <c r="A35" s="522"/>
      <c r="B35" s="576" t="s">
        <v>909</v>
      </c>
      <c r="C35" s="576"/>
      <c r="D35" s="576"/>
      <c r="E35" s="576"/>
      <c r="F35" s="576"/>
      <c r="G35" s="576"/>
      <c r="H35" s="576"/>
      <c r="I35" s="576"/>
      <c r="J35" s="523"/>
      <c r="K35" s="575" t="s">
        <v>910</v>
      </c>
      <c r="L35" s="575"/>
      <c r="M35" s="575"/>
      <c r="N35" s="575"/>
      <c r="O35" s="575"/>
      <c r="P35" s="575"/>
      <c r="Q35" s="575"/>
      <c r="R35" s="575"/>
      <c r="S35" s="523"/>
      <c r="T35" s="574" t="s">
        <v>911</v>
      </c>
      <c r="U35" s="574"/>
      <c r="V35" s="574"/>
      <c r="W35" s="574"/>
      <c r="X35" s="574"/>
      <c r="Y35" s="574"/>
      <c r="Z35" s="574"/>
      <c r="AA35" s="574"/>
      <c r="AB35" s="524"/>
    </row>
    <row r="36" spans="1:28" ht="18" customHeight="1">
      <c r="A36" s="532"/>
      <c r="B36" s="527" t="s">
        <v>901</v>
      </c>
      <c r="C36" s="528" t="s">
        <v>902</v>
      </c>
      <c r="D36" s="529" t="s">
        <v>903</v>
      </c>
      <c r="E36" s="529" t="s">
        <v>904</v>
      </c>
      <c r="F36" s="529" t="s">
        <v>905</v>
      </c>
      <c r="G36" s="529" t="s">
        <v>906</v>
      </c>
      <c r="H36" s="529" t="s">
        <v>907</v>
      </c>
      <c r="I36" s="530" t="s">
        <v>908</v>
      </c>
      <c r="J36" s="531"/>
      <c r="K36" s="527" t="s">
        <v>901</v>
      </c>
      <c r="L36" s="528" t="s">
        <v>902</v>
      </c>
      <c r="M36" s="529" t="s">
        <v>903</v>
      </c>
      <c r="N36" s="529" t="s">
        <v>904</v>
      </c>
      <c r="O36" s="529" t="s">
        <v>905</v>
      </c>
      <c r="P36" s="529" t="s">
        <v>906</v>
      </c>
      <c r="Q36" s="529" t="s">
        <v>907</v>
      </c>
      <c r="R36" s="530" t="s">
        <v>908</v>
      </c>
      <c r="S36" s="531"/>
      <c r="T36" s="527" t="s">
        <v>901</v>
      </c>
      <c r="U36" s="528" t="s">
        <v>902</v>
      </c>
      <c r="V36" s="529" t="s">
        <v>903</v>
      </c>
      <c r="W36" s="529" t="s">
        <v>904</v>
      </c>
      <c r="X36" s="529" t="s">
        <v>905</v>
      </c>
      <c r="Y36" s="529" t="s">
        <v>906</v>
      </c>
      <c r="Z36" s="529" t="s">
        <v>907</v>
      </c>
      <c r="AA36" s="530" t="s">
        <v>908</v>
      </c>
      <c r="AB36" s="514"/>
    </row>
    <row r="37" spans="1:28" ht="18" customHeight="1">
      <c r="A37" s="532"/>
      <c r="B37" s="553">
        <f>IF(T28&gt;0,T28,T27+1)</f>
        <v>14</v>
      </c>
      <c r="C37" s="534">
        <f>IF($C$4=1,1,0)</f>
        <v>0</v>
      </c>
      <c r="D37" s="535">
        <f>IF($D$4=1,1, IF(C37&gt;0,C37+1, 0))</f>
        <v>0</v>
      </c>
      <c r="E37" s="535">
        <f>IF($E$4=1,1, IF(D37&gt;0,D37+1, 0))</f>
        <v>1</v>
      </c>
      <c r="F37" s="535">
        <f>IF($F$4=1,1, IF(E37&gt;0,E37+1, 0))</f>
        <v>2</v>
      </c>
      <c r="G37" s="535">
        <f>IF($G$4=1,1, IF(F37&gt;0,F37+1, 0))</f>
        <v>3</v>
      </c>
      <c r="H37" s="535">
        <f>IF($H$4=1,1, IF(G37&gt;0,G37+1, 0))</f>
        <v>4</v>
      </c>
      <c r="I37" s="536">
        <f>IF($I$4=1,1, IF(H37&gt;0,H37+1, 0))</f>
        <v>5</v>
      </c>
      <c r="J37" s="537"/>
      <c r="K37" s="538">
        <f>IF(B42&gt;0,B41+1,B41)</f>
        <v>18</v>
      </c>
      <c r="L37" s="534">
        <f>IF($L$4=1,1,0)</f>
        <v>0</v>
      </c>
      <c r="M37" s="535">
        <f>IF($M$4=1,1, IF(L37&gt;0,L37+1, 0))</f>
        <v>0</v>
      </c>
      <c r="N37" s="535">
        <f>IF($N$4=1,1, IF(M37&gt;0,M37+1, 0))</f>
        <v>0</v>
      </c>
      <c r="O37" s="535">
        <f>IF($O$4=1,1, IF(N37&gt;0,N37+1, 0))</f>
        <v>0</v>
      </c>
      <c r="P37" s="535">
        <f>IF($P$4=1,1, IF(O37&gt;0,O37+1, 0))</f>
        <v>1</v>
      </c>
      <c r="Q37" s="535">
        <f>IF($Q$4=1,1, IF(P37&gt;0,P37+1, 0))</f>
        <v>2</v>
      </c>
      <c r="R37" s="536">
        <f>IF($R$4=1,1, IF(Q37&gt;0,Q37+1, 0))</f>
        <v>3</v>
      </c>
      <c r="S37" s="537"/>
      <c r="T37" s="538">
        <f>IF(K42&gt;0,K41+1,K41)</f>
        <v>22</v>
      </c>
      <c r="U37" s="534">
        <f>IF($U$4=1,1,0)</f>
        <v>1</v>
      </c>
      <c r="V37" s="535">
        <f>IF($V$4=1,1, IF(U37&gt;0,U37+1, 0))</f>
        <v>2</v>
      </c>
      <c r="W37" s="535">
        <f>IF($W$4=1,1, IF(V37&gt;0,V37+1, 0))</f>
        <v>3</v>
      </c>
      <c r="X37" s="535">
        <f>IF($X$4=1,1, IF(W37&gt;0,W37+1, 0))</f>
        <v>4</v>
      </c>
      <c r="Y37" s="535">
        <f>IF($Y$4=1,1, IF(X37&gt;0,X37+1, 0))</f>
        <v>5</v>
      </c>
      <c r="Z37" s="535">
        <f>IF($Z$4=1,1, IF(Y37&gt;0,Y37+1, 0))</f>
        <v>6</v>
      </c>
      <c r="AA37" s="536">
        <f>IF($AA$4=1,1, IF(Z37&gt;0,Z37+1, 0))</f>
        <v>7</v>
      </c>
      <c r="AB37" s="514"/>
    </row>
    <row r="38" spans="1:28" ht="18" customHeight="1">
      <c r="A38" s="532"/>
      <c r="B38" s="538">
        <f>B37+1</f>
        <v>15</v>
      </c>
      <c r="C38" s="540">
        <f>IF(AND(I37&gt;0,I37&lt;30),I37+1,0)</f>
        <v>6</v>
      </c>
      <c r="D38" s="541">
        <f t="shared" ref="D38:I42" si="3">IF(AND(C38&gt;0,C38&lt;30),C38+1,0)</f>
        <v>7</v>
      </c>
      <c r="E38" s="541">
        <f t="shared" si="3"/>
        <v>8</v>
      </c>
      <c r="F38" s="541">
        <f t="shared" si="3"/>
        <v>9</v>
      </c>
      <c r="G38" s="541">
        <f t="shared" si="3"/>
        <v>10</v>
      </c>
      <c r="H38" s="541">
        <f t="shared" si="3"/>
        <v>11</v>
      </c>
      <c r="I38" s="542">
        <f t="shared" si="3"/>
        <v>12</v>
      </c>
      <c r="J38" s="537"/>
      <c r="K38" s="538">
        <f>K37+1</f>
        <v>19</v>
      </c>
      <c r="L38" s="540">
        <f>IF(AND(R37&gt;0,R37&lt;31),R37+1,0)</f>
        <v>4</v>
      </c>
      <c r="M38" s="541">
        <f t="shared" ref="M38:R42" si="4">IF(AND(L38&gt;0,L38&lt;31),L38+1,0)</f>
        <v>5</v>
      </c>
      <c r="N38" s="541">
        <f t="shared" si="4"/>
        <v>6</v>
      </c>
      <c r="O38" s="541">
        <f t="shared" si="4"/>
        <v>7</v>
      </c>
      <c r="P38" s="541">
        <f t="shared" si="4"/>
        <v>8</v>
      </c>
      <c r="Q38" s="541">
        <f t="shared" si="4"/>
        <v>9</v>
      </c>
      <c r="R38" s="542">
        <f t="shared" si="4"/>
        <v>10</v>
      </c>
      <c r="S38" s="537"/>
      <c r="T38" s="538">
        <f>T37+1</f>
        <v>23</v>
      </c>
      <c r="U38" s="540">
        <f>IF(AND(AA37&gt;0,AA37&lt;30),AA37+1,0)</f>
        <v>8</v>
      </c>
      <c r="V38" s="541">
        <f t="shared" ref="V38:AA42" si="5">IF(AND(U38&gt;0,U38&lt;30),U38+1,0)</f>
        <v>9</v>
      </c>
      <c r="W38" s="541">
        <f t="shared" si="5"/>
        <v>10</v>
      </c>
      <c r="X38" s="541">
        <f t="shared" si="5"/>
        <v>11</v>
      </c>
      <c r="Y38" s="541">
        <f t="shared" si="5"/>
        <v>12</v>
      </c>
      <c r="Z38" s="541">
        <f t="shared" si="5"/>
        <v>13</v>
      </c>
      <c r="AA38" s="542">
        <f t="shared" si="5"/>
        <v>14</v>
      </c>
      <c r="AB38" s="514"/>
    </row>
    <row r="39" spans="1:28" ht="18" customHeight="1">
      <c r="A39" s="532"/>
      <c r="B39" s="538">
        <f>B38+1</f>
        <v>16</v>
      </c>
      <c r="C39" s="540">
        <f>IF(AND(I38&gt;0,I38&lt;30),I38+1,0)</f>
        <v>13</v>
      </c>
      <c r="D39" s="541">
        <f t="shared" si="3"/>
        <v>14</v>
      </c>
      <c r="E39" s="541">
        <f t="shared" si="3"/>
        <v>15</v>
      </c>
      <c r="F39" s="541">
        <f t="shared" si="3"/>
        <v>16</v>
      </c>
      <c r="G39" s="541">
        <f t="shared" si="3"/>
        <v>17</v>
      </c>
      <c r="H39" s="541">
        <f t="shared" si="3"/>
        <v>18</v>
      </c>
      <c r="I39" s="542">
        <f t="shared" si="3"/>
        <v>19</v>
      </c>
      <c r="J39" s="537"/>
      <c r="K39" s="538">
        <f>K38+1</f>
        <v>20</v>
      </c>
      <c r="L39" s="540">
        <f>IF(AND(R38&gt;0,R38&lt;31),R38+1,0)</f>
        <v>11</v>
      </c>
      <c r="M39" s="541">
        <f t="shared" si="4"/>
        <v>12</v>
      </c>
      <c r="N39" s="541">
        <f t="shared" si="4"/>
        <v>13</v>
      </c>
      <c r="O39" s="541">
        <f t="shared" si="4"/>
        <v>14</v>
      </c>
      <c r="P39" s="541">
        <f t="shared" si="4"/>
        <v>15</v>
      </c>
      <c r="Q39" s="541">
        <f t="shared" si="4"/>
        <v>16</v>
      </c>
      <c r="R39" s="542">
        <f t="shared" si="4"/>
        <v>17</v>
      </c>
      <c r="S39" s="537"/>
      <c r="T39" s="538">
        <f>T38+1</f>
        <v>24</v>
      </c>
      <c r="U39" s="540">
        <f>IF(AND(AA38&gt;0,AA38&lt;30),AA38+1,0)</f>
        <v>15</v>
      </c>
      <c r="V39" s="541">
        <f t="shared" si="5"/>
        <v>16</v>
      </c>
      <c r="W39" s="541">
        <f t="shared" si="5"/>
        <v>17</v>
      </c>
      <c r="X39" s="541">
        <f t="shared" si="5"/>
        <v>18</v>
      </c>
      <c r="Y39" s="541">
        <f t="shared" si="5"/>
        <v>19</v>
      </c>
      <c r="Z39" s="541">
        <f t="shared" si="5"/>
        <v>20</v>
      </c>
      <c r="AA39" s="542">
        <f t="shared" si="5"/>
        <v>21</v>
      </c>
      <c r="AB39" s="514"/>
    </row>
    <row r="40" spans="1:28" ht="18" customHeight="1">
      <c r="A40" s="532"/>
      <c r="B40" s="538">
        <f>B39+1</f>
        <v>17</v>
      </c>
      <c r="C40" s="540">
        <f>IF(AND(I39&gt;0,I39&lt;30),I39+1,0)</f>
        <v>20</v>
      </c>
      <c r="D40" s="541">
        <f t="shared" si="3"/>
        <v>21</v>
      </c>
      <c r="E40" s="541">
        <f t="shared" si="3"/>
        <v>22</v>
      </c>
      <c r="F40" s="541">
        <f t="shared" si="3"/>
        <v>23</v>
      </c>
      <c r="G40" s="541">
        <f t="shared" si="3"/>
        <v>24</v>
      </c>
      <c r="H40" s="541">
        <f t="shared" si="3"/>
        <v>25</v>
      </c>
      <c r="I40" s="542">
        <f t="shared" si="3"/>
        <v>26</v>
      </c>
      <c r="J40" s="537"/>
      <c r="K40" s="538">
        <f>K39+1</f>
        <v>21</v>
      </c>
      <c r="L40" s="540">
        <f>IF(AND(R39&gt;0,R39&lt;31),R39+1,0)</f>
        <v>18</v>
      </c>
      <c r="M40" s="541">
        <f t="shared" si="4"/>
        <v>19</v>
      </c>
      <c r="N40" s="541">
        <f t="shared" si="4"/>
        <v>20</v>
      </c>
      <c r="O40" s="541">
        <f t="shared" si="4"/>
        <v>21</v>
      </c>
      <c r="P40" s="541">
        <f t="shared" si="4"/>
        <v>22</v>
      </c>
      <c r="Q40" s="541">
        <f t="shared" si="4"/>
        <v>23</v>
      </c>
      <c r="R40" s="542">
        <f t="shared" si="4"/>
        <v>24</v>
      </c>
      <c r="S40" s="537"/>
      <c r="T40" s="538">
        <f>T39+1</f>
        <v>25</v>
      </c>
      <c r="U40" s="540">
        <f>IF(AND(AA39&gt;0,AA39&lt;30),AA39+1,0)</f>
        <v>22</v>
      </c>
      <c r="V40" s="541">
        <f t="shared" si="5"/>
        <v>23</v>
      </c>
      <c r="W40" s="541">
        <f t="shared" si="5"/>
        <v>24</v>
      </c>
      <c r="X40" s="541">
        <f t="shared" si="5"/>
        <v>25</v>
      </c>
      <c r="Y40" s="541">
        <f t="shared" si="5"/>
        <v>26</v>
      </c>
      <c r="Z40" s="541">
        <f t="shared" si="5"/>
        <v>27</v>
      </c>
      <c r="AA40" s="542">
        <f t="shared" si="5"/>
        <v>28</v>
      </c>
      <c r="AB40" s="514"/>
    </row>
    <row r="41" spans="1:28" ht="18" customHeight="1">
      <c r="A41" s="532"/>
      <c r="B41" s="538">
        <f>B40+1</f>
        <v>18</v>
      </c>
      <c r="C41" s="540">
        <f>IF(AND(I40&gt;0,I40&lt;30),I40+1,0)</f>
        <v>27</v>
      </c>
      <c r="D41" s="541">
        <f t="shared" si="3"/>
        <v>28</v>
      </c>
      <c r="E41" s="541">
        <f t="shared" si="3"/>
        <v>29</v>
      </c>
      <c r="F41" s="541">
        <f t="shared" si="3"/>
        <v>30</v>
      </c>
      <c r="G41" s="541">
        <f t="shared" si="3"/>
        <v>0</v>
      </c>
      <c r="H41" s="541">
        <f t="shared" si="3"/>
        <v>0</v>
      </c>
      <c r="I41" s="542">
        <f t="shared" si="3"/>
        <v>0</v>
      </c>
      <c r="J41" s="537"/>
      <c r="K41" s="538">
        <f>K40+1</f>
        <v>22</v>
      </c>
      <c r="L41" s="540">
        <f>IF(AND(R40&gt;0,R40&lt;31),R40+1,0)</f>
        <v>25</v>
      </c>
      <c r="M41" s="541">
        <f t="shared" si="4"/>
        <v>26</v>
      </c>
      <c r="N41" s="541">
        <f t="shared" si="4"/>
        <v>27</v>
      </c>
      <c r="O41" s="541">
        <f t="shared" si="4"/>
        <v>28</v>
      </c>
      <c r="P41" s="541">
        <f t="shared" si="4"/>
        <v>29</v>
      </c>
      <c r="Q41" s="541">
        <f t="shared" si="4"/>
        <v>30</v>
      </c>
      <c r="R41" s="542">
        <f t="shared" si="4"/>
        <v>31</v>
      </c>
      <c r="S41" s="537"/>
      <c r="T41" s="538">
        <f>T40+1</f>
        <v>26</v>
      </c>
      <c r="U41" s="540">
        <f>IF(AND(AA40&gt;0,AA40&lt;30),AA40+1,0)</f>
        <v>29</v>
      </c>
      <c r="V41" s="541">
        <f t="shared" si="5"/>
        <v>30</v>
      </c>
      <c r="W41" s="541">
        <f t="shared" si="5"/>
        <v>0</v>
      </c>
      <c r="X41" s="541">
        <f t="shared" si="5"/>
        <v>0</v>
      </c>
      <c r="Y41" s="541">
        <f t="shared" si="5"/>
        <v>0</v>
      </c>
      <c r="Z41" s="541">
        <f t="shared" si="5"/>
        <v>0</v>
      </c>
      <c r="AA41" s="542">
        <f t="shared" si="5"/>
        <v>0</v>
      </c>
      <c r="AB41" s="514"/>
    </row>
    <row r="42" spans="1:28" ht="18" customHeight="1" thickBot="1">
      <c r="A42" s="532"/>
      <c r="B42" s="548">
        <f>IF(C42=0,0,B41+1)</f>
        <v>0</v>
      </c>
      <c r="C42" s="545">
        <f>IF(AND(I41&gt;0,I41&lt;30),I41+1,0)</f>
        <v>0</v>
      </c>
      <c r="D42" s="546">
        <f t="shared" si="3"/>
        <v>0</v>
      </c>
      <c r="E42" s="546">
        <f t="shared" si="3"/>
        <v>0</v>
      </c>
      <c r="F42" s="546">
        <f t="shared" si="3"/>
        <v>0</v>
      </c>
      <c r="G42" s="546">
        <f t="shared" si="3"/>
        <v>0</v>
      </c>
      <c r="H42" s="546">
        <f t="shared" si="3"/>
        <v>0</v>
      </c>
      <c r="I42" s="547">
        <f t="shared" si="3"/>
        <v>0</v>
      </c>
      <c r="J42" s="537"/>
      <c r="K42" s="548">
        <f>IF(L42=0,0,K41+1)</f>
        <v>0</v>
      </c>
      <c r="L42" s="549">
        <f>IF(AND(R41&gt;0,R41&lt;31),R41+1,0)</f>
        <v>0</v>
      </c>
      <c r="M42" s="546">
        <f t="shared" si="4"/>
        <v>0</v>
      </c>
      <c r="N42" s="546">
        <f t="shared" si="4"/>
        <v>0</v>
      </c>
      <c r="O42" s="546">
        <f t="shared" si="4"/>
        <v>0</v>
      </c>
      <c r="P42" s="546">
        <f t="shared" si="4"/>
        <v>0</v>
      </c>
      <c r="Q42" s="546">
        <f t="shared" si="4"/>
        <v>0</v>
      </c>
      <c r="R42" s="547">
        <f t="shared" si="4"/>
        <v>0</v>
      </c>
      <c r="S42" s="537"/>
      <c r="T42" s="548">
        <f>IF(U42=0,0,T41+1)</f>
        <v>0</v>
      </c>
      <c r="U42" s="549">
        <f>IF(AND(AA41&gt;0,AA41&lt;30),AA41+1,0)</f>
        <v>0</v>
      </c>
      <c r="V42" s="546">
        <f t="shared" si="5"/>
        <v>0</v>
      </c>
      <c r="W42" s="546">
        <f t="shared" si="5"/>
        <v>0</v>
      </c>
      <c r="X42" s="546">
        <f t="shared" si="5"/>
        <v>0</v>
      </c>
      <c r="Y42" s="546">
        <f t="shared" si="5"/>
        <v>0</v>
      </c>
      <c r="Z42" s="546">
        <f t="shared" si="5"/>
        <v>0</v>
      </c>
      <c r="AA42" s="547">
        <f t="shared" si="5"/>
        <v>0</v>
      </c>
      <c r="AB42" s="514"/>
    </row>
    <row r="43" spans="1:28" ht="18" customHeight="1">
      <c r="A43" s="532"/>
      <c r="B43" s="554"/>
      <c r="C43" s="555"/>
      <c r="D43" s="556"/>
      <c r="E43" s="556"/>
      <c r="F43" s="556"/>
      <c r="G43" s="556"/>
      <c r="H43" s="556"/>
      <c r="I43" s="555"/>
      <c r="J43" s="537"/>
      <c r="K43" s="554"/>
      <c r="L43" s="555"/>
      <c r="M43" s="556"/>
      <c r="N43" s="556"/>
      <c r="O43" s="556"/>
      <c r="P43" s="556"/>
      <c r="Q43" s="556"/>
      <c r="R43" s="555"/>
      <c r="S43" s="537"/>
      <c r="T43" s="554"/>
      <c r="U43" s="555"/>
      <c r="V43" s="556"/>
      <c r="W43" s="556"/>
      <c r="X43" s="556"/>
      <c r="Y43" s="556"/>
      <c r="Z43" s="556"/>
      <c r="AA43" s="555"/>
      <c r="AB43" s="514"/>
    </row>
    <row r="44" spans="1:28" ht="18" customHeight="1">
      <c r="A44" s="532"/>
      <c r="B44" s="537"/>
      <c r="C44" s="513"/>
      <c r="D44" s="513"/>
      <c r="E44" s="513"/>
      <c r="F44" s="513"/>
      <c r="G44" s="513"/>
      <c r="H44" s="513"/>
      <c r="I44" s="513"/>
      <c r="J44" s="537"/>
      <c r="K44" s="537"/>
      <c r="L44" s="513"/>
      <c r="M44" s="513"/>
      <c r="N44" s="513"/>
      <c r="O44" s="513"/>
      <c r="P44" s="513"/>
      <c r="Q44" s="513"/>
      <c r="R44" s="513"/>
      <c r="S44" s="537"/>
      <c r="T44" s="537"/>
      <c r="U44" s="513"/>
      <c r="V44" s="513"/>
      <c r="W44" s="513"/>
      <c r="X44" s="513"/>
      <c r="Y44" s="513"/>
      <c r="Z44" s="513"/>
      <c r="AA44" s="513"/>
      <c r="AB44" s="514"/>
    </row>
    <row r="45" spans="1:28" ht="18" customHeight="1">
      <c r="A45" s="532"/>
      <c r="B45" s="537"/>
      <c r="C45" s="513"/>
      <c r="D45" s="513"/>
      <c r="E45" s="513"/>
      <c r="F45" s="513"/>
      <c r="G45" s="513"/>
      <c r="H45" s="513"/>
      <c r="I45" s="513"/>
      <c r="J45" s="537"/>
      <c r="K45" s="537"/>
      <c r="L45" s="513"/>
      <c r="M45" s="513"/>
      <c r="N45" s="521"/>
      <c r="O45" s="513"/>
      <c r="P45" s="513"/>
      <c r="Q45" s="513"/>
      <c r="R45" s="513"/>
      <c r="S45" s="537"/>
      <c r="T45" s="537"/>
      <c r="U45" s="513"/>
      <c r="V45" s="521"/>
      <c r="W45" s="513"/>
      <c r="X45" s="513"/>
      <c r="Y45" s="513"/>
      <c r="Z45" s="513"/>
      <c r="AA45" s="513"/>
      <c r="AB45" s="514"/>
    </row>
    <row r="46" spans="1:28" ht="18" customHeight="1">
      <c r="A46" s="532"/>
      <c r="B46" s="537"/>
      <c r="C46" s="513"/>
      <c r="D46" s="513"/>
      <c r="E46" s="521"/>
      <c r="F46" s="513"/>
      <c r="G46" s="513"/>
      <c r="H46" s="513"/>
      <c r="I46" s="513"/>
      <c r="J46" s="537"/>
      <c r="K46" s="537"/>
      <c r="L46" s="513"/>
      <c r="M46" s="513"/>
      <c r="N46" s="513"/>
      <c r="O46" s="513"/>
      <c r="P46" s="513"/>
      <c r="Q46" s="513"/>
      <c r="R46" s="513"/>
      <c r="S46" s="537"/>
      <c r="T46" s="537"/>
      <c r="U46" s="513"/>
      <c r="V46" s="513"/>
      <c r="W46" s="513"/>
      <c r="X46" s="513"/>
      <c r="Y46" s="513"/>
      <c r="Z46" s="513"/>
      <c r="AA46" s="513"/>
      <c r="AB46" s="514"/>
    </row>
    <row r="47" spans="1:28" ht="18" customHeight="1">
      <c r="A47" s="532"/>
      <c r="B47" s="537"/>
      <c r="C47" s="513"/>
      <c r="D47" s="513"/>
      <c r="E47" s="513"/>
      <c r="F47" s="513"/>
      <c r="G47" s="513"/>
      <c r="H47" s="513"/>
      <c r="I47" s="513"/>
      <c r="J47" s="537"/>
      <c r="K47" s="537"/>
      <c r="L47" s="513"/>
      <c r="M47" s="513"/>
      <c r="N47" s="513"/>
      <c r="O47" s="513"/>
      <c r="P47" s="513"/>
      <c r="Q47" s="513"/>
      <c r="R47" s="513"/>
      <c r="S47" s="537"/>
      <c r="T47" s="537"/>
      <c r="U47" s="513"/>
      <c r="V47" s="513"/>
      <c r="W47" s="513"/>
      <c r="X47" s="513"/>
      <c r="Y47" s="513"/>
      <c r="Z47" s="513"/>
      <c r="AA47" s="513"/>
      <c r="AB47" s="514"/>
    </row>
    <row r="48" spans="1:28" ht="18" customHeight="1">
      <c r="A48" s="532"/>
      <c r="B48" s="537"/>
      <c r="C48" s="513"/>
      <c r="D48" s="513"/>
      <c r="E48" s="513"/>
      <c r="F48" s="513"/>
      <c r="G48" s="513"/>
      <c r="H48" s="513"/>
      <c r="I48" s="513"/>
      <c r="J48" s="537"/>
      <c r="K48" s="537"/>
      <c r="L48" s="513"/>
      <c r="M48" s="513"/>
      <c r="N48" s="513"/>
      <c r="O48" s="513"/>
      <c r="P48" s="513"/>
      <c r="Q48" s="513"/>
      <c r="R48" s="513"/>
      <c r="S48" s="537"/>
      <c r="T48" s="537"/>
      <c r="U48" s="513"/>
      <c r="V48" s="513"/>
      <c r="W48" s="513"/>
      <c r="X48" s="513"/>
      <c r="Y48" s="513"/>
      <c r="Z48" s="513"/>
      <c r="AA48" s="513"/>
      <c r="AB48" s="514"/>
    </row>
    <row r="49" spans="1:28" s="525" customFormat="1" ht="18" customHeight="1" thickBot="1">
      <c r="A49" s="522"/>
      <c r="B49" s="574" t="s">
        <v>912</v>
      </c>
      <c r="C49" s="574"/>
      <c r="D49" s="574"/>
      <c r="E49" s="574"/>
      <c r="F49" s="574"/>
      <c r="G49" s="574"/>
      <c r="H49" s="574"/>
      <c r="I49" s="574"/>
      <c r="J49" s="523"/>
      <c r="K49" s="576" t="s">
        <v>913</v>
      </c>
      <c r="L49" s="576"/>
      <c r="M49" s="576"/>
      <c r="N49" s="576"/>
      <c r="O49" s="576"/>
      <c r="P49" s="576"/>
      <c r="Q49" s="576"/>
      <c r="R49" s="576"/>
      <c r="S49" s="523"/>
      <c r="T49" s="580" t="s">
        <v>914</v>
      </c>
      <c r="U49" s="580"/>
      <c r="V49" s="580"/>
      <c r="W49" s="580"/>
      <c r="X49" s="580"/>
      <c r="Y49" s="580"/>
      <c r="Z49" s="580"/>
      <c r="AA49" s="580"/>
      <c r="AB49" s="524"/>
    </row>
    <row r="50" spans="1:28" ht="18" customHeight="1">
      <c r="A50" s="532"/>
      <c r="B50" s="527" t="s">
        <v>901</v>
      </c>
      <c r="C50" s="528" t="s">
        <v>902</v>
      </c>
      <c r="D50" s="529" t="s">
        <v>903</v>
      </c>
      <c r="E50" s="529" t="s">
        <v>904</v>
      </c>
      <c r="F50" s="529" t="s">
        <v>905</v>
      </c>
      <c r="G50" s="529" t="s">
        <v>906</v>
      </c>
      <c r="H50" s="529" t="s">
        <v>907</v>
      </c>
      <c r="I50" s="530" t="s">
        <v>908</v>
      </c>
      <c r="J50" s="531"/>
      <c r="K50" s="527" t="s">
        <v>901</v>
      </c>
      <c r="L50" s="528" t="s">
        <v>902</v>
      </c>
      <c r="M50" s="529" t="s">
        <v>903</v>
      </c>
      <c r="N50" s="529" t="s">
        <v>904</v>
      </c>
      <c r="O50" s="529" t="s">
        <v>905</v>
      </c>
      <c r="P50" s="529" t="s">
        <v>906</v>
      </c>
      <c r="Q50" s="529" t="s">
        <v>907</v>
      </c>
      <c r="R50" s="530" t="s">
        <v>908</v>
      </c>
      <c r="S50" s="531"/>
      <c r="T50" s="527" t="s">
        <v>901</v>
      </c>
      <c r="U50" s="528" t="s">
        <v>902</v>
      </c>
      <c r="V50" s="529" t="s">
        <v>903</v>
      </c>
      <c r="W50" s="529" t="s">
        <v>904</v>
      </c>
      <c r="X50" s="529" t="s">
        <v>905</v>
      </c>
      <c r="Y50" s="529" t="s">
        <v>906</v>
      </c>
      <c r="Z50" s="529" t="s">
        <v>907</v>
      </c>
      <c r="AA50" s="530" t="s">
        <v>908</v>
      </c>
      <c r="AB50" s="514"/>
    </row>
    <row r="51" spans="1:28" ht="18" customHeight="1">
      <c r="A51" s="532"/>
      <c r="B51" s="553">
        <f>IF(T42&gt;0,T42,T41+1)</f>
        <v>27</v>
      </c>
      <c r="C51" s="534">
        <f>IF($C$5=1,1,0)</f>
        <v>0</v>
      </c>
      <c r="D51" s="535">
        <f>IF($D$5=1,1, IF(C51&gt;0,C51+1, 0))</f>
        <v>0</v>
      </c>
      <c r="E51" s="535">
        <f>IF($E$5=1,1, IF(D51&gt;0,D51+1, 0))</f>
        <v>1</v>
      </c>
      <c r="F51" s="535">
        <f>IF($F$5=1,1, IF(E51&gt;0,E51+1, 0))</f>
        <v>2</v>
      </c>
      <c r="G51" s="535">
        <f>IF($G$5=1,1, IF(F51&gt;0,F51+1, 0))</f>
        <v>3</v>
      </c>
      <c r="H51" s="535">
        <f>IF($H$5=1,1, IF(G51&gt;0,G51+1, 0))</f>
        <v>4</v>
      </c>
      <c r="I51" s="536">
        <f>IF($I$5=1,1, IF(H51&gt;0,H51+1, 0))</f>
        <v>5</v>
      </c>
      <c r="J51" s="537"/>
      <c r="K51" s="538">
        <f>IF(B56&gt;0,B55+1,B55)</f>
        <v>31</v>
      </c>
      <c r="L51" s="534">
        <f>IF($L$5=1,1,0)</f>
        <v>0</v>
      </c>
      <c r="M51" s="535">
        <f>IF($M$5=1,1, IF(L51&gt;0,L51+1, 0))</f>
        <v>0</v>
      </c>
      <c r="N51" s="535">
        <f>IF($N$5=1,1, IF(M51&gt;0,M51+1, 0))</f>
        <v>0</v>
      </c>
      <c r="O51" s="535">
        <f>IF($O$5=1,1, IF(N51&gt;0,N51+1, 0))</f>
        <v>0</v>
      </c>
      <c r="P51" s="535">
        <f>IF($P$5=1,1, IF(O51&gt;0,O51+1, 0))</f>
        <v>0</v>
      </c>
      <c r="Q51" s="535">
        <f>IF($Q$5=1,1, IF(P51&gt;0,P51+1, 0))</f>
        <v>1</v>
      </c>
      <c r="R51" s="536">
        <f>IF($R$5=1,1, IF(Q51&gt;0,Q51+1, 0))</f>
        <v>2</v>
      </c>
      <c r="S51" s="537"/>
      <c r="T51" s="538">
        <f>IF(K56&gt;0,K55+1,K55)</f>
        <v>36</v>
      </c>
      <c r="U51" s="534">
        <f>IF($U$5=1,1,0)</f>
        <v>0</v>
      </c>
      <c r="V51" s="535">
        <f>IF($V$5=1,1, IF(U51&gt;0,U51+1, 0))</f>
        <v>1</v>
      </c>
      <c r="W51" s="535">
        <f>IF($W$5=1,1, IF(V51&gt;0,V51+1, 0))</f>
        <v>2</v>
      </c>
      <c r="X51" s="535">
        <f>IF($X$5=1,1, IF(W51&gt;0,W51+1, 0))</f>
        <v>3</v>
      </c>
      <c r="Y51" s="535">
        <f>IF($Y$5=1,1, IF(X51&gt;0,X51+1, 0))</f>
        <v>4</v>
      </c>
      <c r="Z51" s="557">
        <f>IF($Z$5=1,1, IF(Y51&gt;0,Y51+1, 0))</f>
        <v>5</v>
      </c>
      <c r="AA51" s="536">
        <f>IF($AA$5=1,1, IF(Z51&gt;0,Z51+1, 0))</f>
        <v>6</v>
      </c>
      <c r="AB51" s="514"/>
    </row>
    <row r="52" spans="1:28" ht="18" customHeight="1">
      <c r="A52" s="532"/>
      <c r="B52" s="538">
        <f>B51+1</f>
        <v>28</v>
      </c>
      <c r="C52" s="540">
        <f>IF(AND(I51&gt;0,I51&lt;31),I51+1,0)</f>
        <v>6</v>
      </c>
      <c r="D52" s="541">
        <f t="shared" ref="D52:I56" si="6">IF(AND(C52&gt;0,C52&lt;31),C52+1,0)</f>
        <v>7</v>
      </c>
      <c r="E52" s="541">
        <f t="shared" si="6"/>
        <v>8</v>
      </c>
      <c r="F52" s="541">
        <f t="shared" si="6"/>
        <v>9</v>
      </c>
      <c r="G52" s="541">
        <f t="shared" si="6"/>
        <v>10</v>
      </c>
      <c r="H52" s="541">
        <f t="shared" si="6"/>
        <v>11</v>
      </c>
      <c r="I52" s="542">
        <f t="shared" si="6"/>
        <v>12</v>
      </c>
      <c r="J52" s="537"/>
      <c r="K52" s="538">
        <f>K51+1</f>
        <v>32</v>
      </c>
      <c r="L52" s="540">
        <f>IF(AND(R51&gt;0,R51&lt;31),R51+1,0)</f>
        <v>3</v>
      </c>
      <c r="M52" s="541">
        <f t="shared" ref="M52:R56" si="7">IF(AND(L52&gt;0,L52&lt;31),L52+1,0)</f>
        <v>4</v>
      </c>
      <c r="N52" s="541">
        <f t="shared" si="7"/>
        <v>5</v>
      </c>
      <c r="O52" s="541">
        <f t="shared" si="7"/>
        <v>6</v>
      </c>
      <c r="P52" s="541">
        <f t="shared" si="7"/>
        <v>7</v>
      </c>
      <c r="Q52" s="541">
        <f t="shared" si="7"/>
        <v>8</v>
      </c>
      <c r="R52" s="542">
        <f t="shared" si="7"/>
        <v>9</v>
      </c>
      <c r="S52" s="537"/>
      <c r="T52" s="538">
        <f>T51+1</f>
        <v>37</v>
      </c>
      <c r="U52" s="540">
        <f>IF(AND(AA51&gt;0,AA51&lt;30),AA51+1,0)</f>
        <v>7</v>
      </c>
      <c r="V52" s="541">
        <f t="shared" ref="V52:AA56" si="8">IF(AND(U52&gt;0,U52&lt;30),U52+1,0)</f>
        <v>8</v>
      </c>
      <c r="W52" s="541">
        <f t="shared" si="8"/>
        <v>9</v>
      </c>
      <c r="X52" s="541">
        <f t="shared" si="8"/>
        <v>10</v>
      </c>
      <c r="Y52" s="541">
        <f t="shared" si="8"/>
        <v>11</v>
      </c>
      <c r="Z52" s="558">
        <f t="shared" si="8"/>
        <v>12</v>
      </c>
      <c r="AA52" s="542">
        <f t="shared" si="8"/>
        <v>13</v>
      </c>
      <c r="AB52" s="514"/>
    </row>
    <row r="53" spans="1:28" ht="18" customHeight="1">
      <c r="A53" s="532"/>
      <c r="B53" s="538">
        <f>B52+1</f>
        <v>29</v>
      </c>
      <c r="C53" s="540">
        <f>IF(AND(I52&gt;0,I52&lt;31),I52+1,0)</f>
        <v>13</v>
      </c>
      <c r="D53" s="541">
        <f t="shared" si="6"/>
        <v>14</v>
      </c>
      <c r="E53" s="541">
        <f t="shared" si="6"/>
        <v>15</v>
      </c>
      <c r="F53" s="541">
        <f t="shared" si="6"/>
        <v>16</v>
      </c>
      <c r="G53" s="541">
        <f t="shared" si="6"/>
        <v>17</v>
      </c>
      <c r="H53" s="541">
        <f t="shared" si="6"/>
        <v>18</v>
      </c>
      <c r="I53" s="542">
        <f t="shared" si="6"/>
        <v>19</v>
      </c>
      <c r="J53" s="537"/>
      <c r="K53" s="538">
        <f>K52+1</f>
        <v>33</v>
      </c>
      <c r="L53" s="540">
        <f>IF(AND(R52&gt;0,R52&lt;31),R52+1,0)</f>
        <v>10</v>
      </c>
      <c r="M53" s="541">
        <f t="shared" si="7"/>
        <v>11</v>
      </c>
      <c r="N53" s="541">
        <f t="shared" si="7"/>
        <v>12</v>
      </c>
      <c r="O53" s="541">
        <f t="shared" si="7"/>
        <v>13</v>
      </c>
      <c r="P53" s="541">
        <f t="shared" si="7"/>
        <v>14</v>
      </c>
      <c r="Q53" s="541">
        <f t="shared" si="7"/>
        <v>15</v>
      </c>
      <c r="R53" s="542">
        <f t="shared" si="7"/>
        <v>16</v>
      </c>
      <c r="S53" s="537"/>
      <c r="T53" s="538">
        <f>T52+1</f>
        <v>38</v>
      </c>
      <c r="U53" s="540">
        <f>IF(AND(AA52&gt;0,AA52&lt;30),AA52+1,0)</f>
        <v>14</v>
      </c>
      <c r="V53" s="541">
        <f t="shared" si="8"/>
        <v>15</v>
      </c>
      <c r="W53" s="541">
        <f t="shared" si="8"/>
        <v>16</v>
      </c>
      <c r="X53" s="541">
        <f t="shared" si="8"/>
        <v>17</v>
      </c>
      <c r="Y53" s="541">
        <f t="shared" si="8"/>
        <v>18</v>
      </c>
      <c r="Z53" s="558">
        <f t="shared" si="8"/>
        <v>19</v>
      </c>
      <c r="AA53" s="542">
        <f t="shared" si="8"/>
        <v>20</v>
      </c>
      <c r="AB53" s="514"/>
    </row>
    <row r="54" spans="1:28" ht="18" customHeight="1">
      <c r="A54" s="532"/>
      <c r="B54" s="538">
        <f>B53+1</f>
        <v>30</v>
      </c>
      <c r="C54" s="540">
        <f>IF(AND(I53&gt;0,I53&lt;31),I53+1,0)</f>
        <v>20</v>
      </c>
      <c r="D54" s="541">
        <f t="shared" si="6"/>
        <v>21</v>
      </c>
      <c r="E54" s="541">
        <f t="shared" si="6"/>
        <v>22</v>
      </c>
      <c r="F54" s="541">
        <f t="shared" si="6"/>
        <v>23</v>
      </c>
      <c r="G54" s="541">
        <f t="shared" si="6"/>
        <v>24</v>
      </c>
      <c r="H54" s="541">
        <f t="shared" si="6"/>
        <v>25</v>
      </c>
      <c r="I54" s="542">
        <f t="shared" si="6"/>
        <v>26</v>
      </c>
      <c r="J54" s="537"/>
      <c r="K54" s="538">
        <f>K53+1</f>
        <v>34</v>
      </c>
      <c r="L54" s="540">
        <f>IF(AND(R53&gt;0,R53&lt;31),R53+1,0)</f>
        <v>17</v>
      </c>
      <c r="M54" s="541">
        <f t="shared" si="7"/>
        <v>18</v>
      </c>
      <c r="N54" s="541">
        <f t="shared" si="7"/>
        <v>19</v>
      </c>
      <c r="O54" s="541">
        <f t="shared" si="7"/>
        <v>20</v>
      </c>
      <c r="P54" s="541">
        <f t="shared" si="7"/>
        <v>21</v>
      </c>
      <c r="Q54" s="541">
        <f t="shared" si="7"/>
        <v>22</v>
      </c>
      <c r="R54" s="542">
        <f t="shared" si="7"/>
        <v>23</v>
      </c>
      <c r="S54" s="537"/>
      <c r="T54" s="538">
        <f>T53+1</f>
        <v>39</v>
      </c>
      <c r="U54" s="540">
        <f>IF(AND(AA53&gt;0,AA53&lt;30),AA53+1,0)</f>
        <v>21</v>
      </c>
      <c r="V54" s="541">
        <f t="shared" si="8"/>
        <v>22</v>
      </c>
      <c r="W54" s="541">
        <f t="shared" si="8"/>
        <v>23</v>
      </c>
      <c r="X54" s="541">
        <f t="shared" si="8"/>
        <v>24</v>
      </c>
      <c r="Y54" s="541">
        <f t="shared" si="8"/>
        <v>25</v>
      </c>
      <c r="Z54" s="558">
        <f t="shared" si="8"/>
        <v>26</v>
      </c>
      <c r="AA54" s="542">
        <f t="shared" si="8"/>
        <v>27</v>
      </c>
      <c r="AB54" s="514"/>
    </row>
    <row r="55" spans="1:28" ht="18" customHeight="1">
      <c r="A55" s="532"/>
      <c r="B55" s="538">
        <f>B54+1</f>
        <v>31</v>
      </c>
      <c r="C55" s="540">
        <f>IF(AND(I54&gt;0,I54&lt;31),I54+1,0)</f>
        <v>27</v>
      </c>
      <c r="D55" s="541">
        <f t="shared" si="6"/>
        <v>28</v>
      </c>
      <c r="E55" s="541">
        <f t="shared" si="6"/>
        <v>29</v>
      </c>
      <c r="F55" s="541">
        <f t="shared" si="6"/>
        <v>30</v>
      </c>
      <c r="G55" s="541">
        <f t="shared" si="6"/>
        <v>31</v>
      </c>
      <c r="H55" s="541">
        <f t="shared" si="6"/>
        <v>0</v>
      </c>
      <c r="I55" s="542">
        <f t="shared" si="6"/>
        <v>0</v>
      </c>
      <c r="J55" s="537"/>
      <c r="K55" s="538">
        <f>K54+1</f>
        <v>35</v>
      </c>
      <c r="L55" s="540">
        <f>IF(AND(R54&gt;0,R54&lt;31),R54+1,0)</f>
        <v>24</v>
      </c>
      <c r="M55" s="541">
        <f t="shared" si="7"/>
        <v>25</v>
      </c>
      <c r="N55" s="541">
        <f t="shared" si="7"/>
        <v>26</v>
      </c>
      <c r="O55" s="541">
        <f t="shared" si="7"/>
        <v>27</v>
      </c>
      <c r="P55" s="541">
        <f t="shared" si="7"/>
        <v>28</v>
      </c>
      <c r="Q55" s="541">
        <f t="shared" si="7"/>
        <v>29</v>
      </c>
      <c r="R55" s="542">
        <f t="shared" si="7"/>
        <v>30</v>
      </c>
      <c r="S55" s="537"/>
      <c r="T55" s="538">
        <f>T54+1</f>
        <v>40</v>
      </c>
      <c r="U55" s="540">
        <f>IF(AND(AA54&gt;0,AA54&lt;30),AA54+1,0)</f>
        <v>28</v>
      </c>
      <c r="V55" s="541">
        <f t="shared" si="8"/>
        <v>29</v>
      </c>
      <c r="W55" s="541">
        <f t="shared" si="8"/>
        <v>30</v>
      </c>
      <c r="X55" s="541">
        <f t="shared" si="8"/>
        <v>0</v>
      </c>
      <c r="Y55" s="541">
        <f t="shared" si="8"/>
        <v>0</v>
      </c>
      <c r="Z55" s="558">
        <f t="shared" si="8"/>
        <v>0</v>
      </c>
      <c r="AA55" s="542">
        <f t="shared" si="8"/>
        <v>0</v>
      </c>
      <c r="AB55" s="514"/>
    </row>
    <row r="56" spans="1:28" ht="18" customHeight="1" thickBot="1">
      <c r="A56" s="532"/>
      <c r="B56" s="548">
        <f>IF(C56=0,0,B55+1)</f>
        <v>0</v>
      </c>
      <c r="C56" s="545">
        <f>IF(AND(I55&gt;0,I55&lt;31),I55+1,0)</f>
        <v>0</v>
      </c>
      <c r="D56" s="546">
        <f t="shared" si="6"/>
        <v>0</v>
      </c>
      <c r="E56" s="546">
        <f t="shared" si="6"/>
        <v>0</v>
      </c>
      <c r="F56" s="546">
        <f t="shared" si="6"/>
        <v>0</v>
      </c>
      <c r="G56" s="546">
        <f t="shared" si="6"/>
        <v>0</v>
      </c>
      <c r="H56" s="546">
        <f t="shared" si="6"/>
        <v>0</v>
      </c>
      <c r="I56" s="547">
        <f t="shared" si="6"/>
        <v>0</v>
      </c>
      <c r="J56" s="537"/>
      <c r="K56" s="548">
        <f>IF(L56=0,0,K55+1)</f>
        <v>36</v>
      </c>
      <c r="L56" s="549">
        <f>IF(AND(R55&gt;0,R55&lt;31),R55+1,0)</f>
        <v>31</v>
      </c>
      <c r="M56" s="546">
        <f t="shared" si="7"/>
        <v>0</v>
      </c>
      <c r="N56" s="546">
        <f t="shared" si="7"/>
        <v>0</v>
      </c>
      <c r="O56" s="546">
        <f t="shared" si="7"/>
        <v>0</v>
      </c>
      <c r="P56" s="546">
        <f t="shared" si="7"/>
        <v>0</v>
      </c>
      <c r="Q56" s="546">
        <f t="shared" si="7"/>
        <v>0</v>
      </c>
      <c r="R56" s="547">
        <f t="shared" si="7"/>
        <v>0</v>
      </c>
      <c r="S56" s="537"/>
      <c r="T56" s="548">
        <f>IF(U56=0,0,T55+1)</f>
        <v>0</v>
      </c>
      <c r="U56" s="549">
        <f>IF(AND(AA55&gt;0,AA55&lt;30),AA55+1,0)</f>
        <v>0</v>
      </c>
      <c r="V56" s="546">
        <f t="shared" si="8"/>
        <v>0</v>
      </c>
      <c r="W56" s="546">
        <f t="shared" si="8"/>
        <v>0</v>
      </c>
      <c r="X56" s="546">
        <f t="shared" si="8"/>
        <v>0</v>
      </c>
      <c r="Y56" s="546">
        <f t="shared" si="8"/>
        <v>0</v>
      </c>
      <c r="Z56" s="546">
        <f t="shared" si="8"/>
        <v>0</v>
      </c>
      <c r="AA56" s="547">
        <f t="shared" si="8"/>
        <v>0</v>
      </c>
      <c r="AB56" s="514"/>
    </row>
    <row r="57" spans="1:28" ht="18" customHeight="1">
      <c r="A57" s="532"/>
      <c r="B57" s="537"/>
      <c r="C57" s="513"/>
      <c r="D57" s="513"/>
      <c r="E57" s="513"/>
      <c r="F57" s="513"/>
      <c r="G57" s="513"/>
      <c r="H57" s="513"/>
      <c r="I57" s="513"/>
      <c r="J57" s="537"/>
      <c r="K57" s="537"/>
      <c r="L57" s="513"/>
      <c r="M57" s="513"/>
      <c r="N57" s="513"/>
      <c r="O57" s="513"/>
      <c r="P57" s="513"/>
      <c r="Q57" s="513"/>
      <c r="R57" s="513"/>
      <c r="S57" s="537"/>
      <c r="T57" s="537"/>
      <c r="U57" s="513"/>
      <c r="V57" s="513"/>
      <c r="W57" s="513"/>
      <c r="X57" s="513"/>
      <c r="Y57" s="513"/>
      <c r="Z57" s="513"/>
      <c r="AA57" s="513"/>
      <c r="AB57" s="514"/>
    </row>
    <row r="58" spans="1:28" ht="18" customHeight="1">
      <c r="A58" s="532"/>
      <c r="B58" s="537"/>
      <c r="C58" s="513"/>
      <c r="D58" s="513"/>
      <c r="E58" s="513"/>
      <c r="F58" s="513"/>
      <c r="G58" s="513"/>
      <c r="H58" s="513"/>
      <c r="I58" s="513"/>
      <c r="J58" s="537"/>
      <c r="K58" s="537"/>
      <c r="L58" s="513"/>
      <c r="M58" s="513"/>
      <c r="N58" s="513"/>
      <c r="O58" s="513"/>
      <c r="P58" s="513"/>
      <c r="Q58" s="513"/>
      <c r="R58" s="513"/>
      <c r="S58" s="537"/>
      <c r="T58" s="537"/>
      <c r="U58" s="513"/>
      <c r="V58" s="513"/>
      <c r="W58" s="513"/>
      <c r="X58" s="513"/>
      <c r="Y58" s="513"/>
      <c r="Z58" s="513"/>
      <c r="AA58" s="513"/>
      <c r="AB58" s="514"/>
    </row>
    <row r="59" spans="1:28" ht="18" customHeight="1">
      <c r="A59" s="532"/>
      <c r="B59" s="537"/>
      <c r="C59" s="513"/>
      <c r="D59" s="513"/>
      <c r="E59" s="521"/>
      <c r="F59" s="513"/>
      <c r="G59" s="513"/>
      <c r="H59" s="513"/>
      <c r="I59" s="521"/>
      <c r="J59" s="537"/>
      <c r="K59" s="537"/>
      <c r="L59" s="513"/>
      <c r="M59" s="513"/>
      <c r="N59" s="521"/>
      <c r="O59" s="513"/>
      <c r="P59" s="513"/>
      <c r="Q59" s="513"/>
      <c r="R59" s="513"/>
      <c r="S59" s="537"/>
      <c r="T59" s="537"/>
      <c r="U59" s="513"/>
      <c r="V59" s="521"/>
      <c r="W59" s="513"/>
      <c r="X59" s="513"/>
      <c r="Y59" s="513"/>
      <c r="Z59" s="513"/>
      <c r="AA59" s="513"/>
      <c r="AB59" s="514"/>
    </row>
    <row r="60" spans="1:28" ht="18" customHeight="1">
      <c r="A60" s="532"/>
      <c r="B60" s="537"/>
      <c r="C60" s="513"/>
      <c r="D60" s="513"/>
      <c r="E60" s="513"/>
      <c r="F60" s="513"/>
      <c r="G60" s="513"/>
      <c r="H60" s="513"/>
      <c r="I60" s="513"/>
      <c r="J60" s="537"/>
      <c r="K60" s="537"/>
      <c r="L60" s="513"/>
      <c r="M60" s="513"/>
      <c r="N60" s="513"/>
      <c r="O60" s="513"/>
      <c r="P60" s="513"/>
      <c r="Q60" s="513"/>
      <c r="R60" s="513"/>
      <c r="S60" s="537"/>
      <c r="T60" s="537"/>
      <c r="U60" s="513"/>
      <c r="V60" s="513"/>
      <c r="W60" s="513"/>
      <c r="X60" s="513"/>
      <c r="Y60" s="513"/>
      <c r="Z60" s="513"/>
      <c r="AA60" s="513"/>
      <c r="AB60" s="514"/>
    </row>
    <row r="61" spans="1:28" ht="18" customHeight="1">
      <c r="A61" s="532"/>
      <c r="B61" s="537"/>
      <c r="C61" s="513"/>
      <c r="D61" s="513"/>
      <c r="E61" s="513"/>
      <c r="F61" s="513"/>
      <c r="G61" s="513"/>
      <c r="H61" s="513"/>
      <c r="I61" s="513"/>
      <c r="J61" s="537"/>
      <c r="K61" s="537"/>
      <c r="L61" s="513"/>
      <c r="M61" s="513"/>
      <c r="N61" s="513"/>
      <c r="O61" s="513"/>
      <c r="P61" s="513"/>
      <c r="Q61" s="513"/>
      <c r="R61" s="513"/>
      <c r="S61" s="537"/>
      <c r="T61" s="537"/>
      <c r="U61" s="513"/>
      <c r="V61" s="513"/>
      <c r="W61" s="513"/>
      <c r="X61" s="513"/>
      <c r="Y61" s="513"/>
      <c r="Z61" s="513"/>
      <c r="AA61" s="513"/>
      <c r="AB61" s="514"/>
    </row>
    <row r="62" spans="1:28" ht="18" customHeight="1">
      <c r="A62" s="532"/>
      <c r="B62" s="537"/>
      <c r="C62" s="513"/>
      <c r="D62" s="513"/>
      <c r="E62" s="513"/>
      <c r="F62" s="513"/>
      <c r="G62" s="513"/>
      <c r="H62" s="513"/>
      <c r="I62" s="513"/>
      <c r="J62" s="537"/>
      <c r="K62" s="537"/>
      <c r="L62" s="513"/>
      <c r="M62" s="513"/>
      <c r="N62" s="513"/>
      <c r="O62" s="513"/>
      <c r="P62" s="513"/>
      <c r="Q62" s="513"/>
      <c r="R62" s="513"/>
      <c r="S62" s="537"/>
      <c r="T62" s="537"/>
      <c r="U62" s="513"/>
      <c r="V62" s="513"/>
      <c r="W62" s="513"/>
      <c r="X62" s="513"/>
      <c r="Y62" s="513"/>
      <c r="Z62" s="513"/>
      <c r="AA62" s="513"/>
      <c r="AB62" s="514"/>
    </row>
    <row r="63" spans="1:28" s="525" customFormat="1" ht="18" customHeight="1" thickBot="1">
      <c r="A63" s="522"/>
      <c r="B63" s="573" t="s">
        <v>915</v>
      </c>
      <c r="C63" s="573"/>
      <c r="D63" s="573"/>
      <c r="E63" s="573"/>
      <c r="F63" s="573"/>
      <c r="G63" s="573"/>
      <c r="H63" s="573"/>
      <c r="I63" s="573"/>
      <c r="J63" s="523"/>
      <c r="K63" s="574" t="s">
        <v>916</v>
      </c>
      <c r="L63" s="574"/>
      <c r="M63" s="574"/>
      <c r="N63" s="574"/>
      <c r="O63" s="574"/>
      <c r="P63" s="574"/>
      <c r="Q63" s="574"/>
      <c r="R63" s="574"/>
      <c r="S63" s="523"/>
      <c r="T63" s="576" t="s">
        <v>917</v>
      </c>
      <c r="U63" s="576"/>
      <c r="V63" s="576"/>
      <c r="W63" s="576"/>
      <c r="X63" s="576"/>
      <c r="Y63" s="576"/>
      <c r="Z63" s="576"/>
      <c r="AA63" s="576"/>
      <c r="AB63" s="524"/>
    </row>
    <row r="64" spans="1:28" ht="18" customHeight="1">
      <c r="A64" s="532"/>
      <c r="B64" s="527" t="s">
        <v>901</v>
      </c>
      <c r="C64" s="528" t="s">
        <v>902</v>
      </c>
      <c r="D64" s="529" t="s">
        <v>903</v>
      </c>
      <c r="E64" s="529" t="s">
        <v>904</v>
      </c>
      <c r="F64" s="529" t="s">
        <v>905</v>
      </c>
      <c r="G64" s="529" t="s">
        <v>906</v>
      </c>
      <c r="H64" s="529" t="s">
        <v>907</v>
      </c>
      <c r="I64" s="530" t="s">
        <v>908</v>
      </c>
      <c r="J64" s="531"/>
      <c r="K64" s="527" t="s">
        <v>901</v>
      </c>
      <c r="L64" s="528" t="s">
        <v>902</v>
      </c>
      <c r="M64" s="529" t="s">
        <v>903</v>
      </c>
      <c r="N64" s="529" t="s">
        <v>904</v>
      </c>
      <c r="O64" s="529" t="s">
        <v>905</v>
      </c>
      <c r="P64" s="529" t="s">
        <v>906</v>
      </c>
      <c r="Q64" s="529" t="s">
        <v>907</v>
      </c>
      <c r="R64" s="530" t="s">
        <v>908</v>
      </c>
      <c r="S64" s="531"/>
      <c r="T64" s="527" t="s">
        <v>901</v>
      </c>
      <c r="U64" s="528" t="s">
        <v>902</v>
      </c>
      <c r="V64" s="529" t="s">
        <v>903</v>
      </c>
      <c r="W64" s="529" t="s">
        <v>904</v>
      </c>
      <c r="X64" s="529" t="s">
        <v>905</v>
      </c>
      <c r="Y64" s="529" t="s">
        <v>906</v>
      </c>
      <c r="Z64" s="529" t="s">
        <v>907</v>
      </c>
      <c r="AA64" s="530" t="s">
        <v>908</v>
      </c>
      <c r="AB64" s="514"/>
    </row>
    <row r="65" spans="1:28" ht="18" customHeight="1">
      <c r="A65" s="532"/>
      <c r="B65" s="553">
        <f>IF(T56&gt;0,T56,T55+1)</f>
        <v>41</v>
      </c>
      <c r="C65" s="559">
        <f>IF($C$6=1,1,0)</f>
        <v>0</v>
      </c>
      <c r="D65" s="535">
        <f>IF($D$6=1,1, IF(C65&gt;0,C65+1, 0))</f>
        <v>0</v>
      </c>
      <c r="E65" s="535">
        <f>IF($E$6=1,1, IF(D65&gt;0,D65+1, 0))</f>
        <v>0</v>
      </c>
      <c r="F65" s="535">
        <f>IF($F$6=1,1, IF(E65&gt;0,E65+1, 0))</f>
        <v>1</v>
      </c>
      <c r="G65" s="535">
        <f>IF($G$6=1,1, IF(F65&gt;0,F65+1, 0))</f>
        <v>2</v>
      </c>
      <c r="H65" s="535">
        <f>IF($H$6=1,1, IF(G65&gt;0,G65+1, 0))</f>
        <v>3</v>
      </c>
      <c r="I65" s="536">
        <f>IF($I$6=1,1, IF(H65&gt;0,H65+1, 0))</f>
        <v>4</v>
      </c>
      <c r="J65" s="537"/>
      <c r="K65" s="538">
        <f>IF(B70&gt;0,B69+1,B69)</f>
        <v>45</v>
      </c>
      <c r="L65" s="534">
        <f>IF($L$6=1,1,0)</f>
        <v>0</v>
      </c>
      <c r="M65" s="535">
        <f>IF($M$6=1,1, IF(L65&gt;0,L65+1, 0))</f>
        <v>0</v>
      </c>
      <c r="N65" s="535">
        <f>IF($N$6=1,1, IF(M65&gt;0,M65+1, 0))</f>
        <v>0</v>
      </c>
      <c r="O65" s="535">
        <f>IF($O$6=1,1, IF(N65&gt;0,N65+1, 0))</f>
        <v>0</v>
      </c>
      <c r="P65" s="535">
        <f>IF($P$6=1,1, IF(O65&gt;0,O65+1, 0))</f>
        <v>0</v>
      </c>
      <c r="Q65" s="535">
        <f>IF($Q$6=1,1, IF(P65&gt;0,P65+1, 0))</f>
        <v>0</v>
      </c>
      <c r="R65" s="536">
        <f>IF($R$6=1,1, IF(Q65&gt;0,Q65+1, 0))</f>
        <v>1</v>
      </c>
      <c r="S65" s="537"/>
      <c r="T65" s="538">
        <f>IF(K70&gt;0,K69+1,K69)</f>
        <v>50</v>
      </c>
      <c r="U65" s="534">
        <f>IF($U$6=1,1,0)</f>
        <v>0</v>
      </c>
      <c r="V65" s="535">
        <f>IF($V$6=1,1, IF(U65&gt;0,U65+1, 0))</f>
        <v>1</v>
      </c>
      <c r="W65" s="535">
        <f>IF($W$6=1,1, IF(V65&gt;0,V65+1, 0))</f>
        <v>2</v>
      </c>
      <c r="X65" s="535">
        <f>IF($X$6=1,1, IF(W65&gt;0,W65+1, 0))</f>
        <v>3</v>
      </c>
      <c r="Y65" s="535">
        <f>IF($Y$6=1,1, IF(X65&gt;0,X65+1, 0))</f>
        <v>4</v>
      </c>
      <c r="Z65" s="560">
        <f>IF($Z$6=1,1, IF(Y65&gt;0,Y65+1, 0))</f>
        <v>5</v>
      </c>
      <c r="AA65" s="536">
        <f>IF($AA$6=1,1, IF(Z65&gt;0,Z65+1, 0))</f>
        <v>6</v>
      </c>
      <c r="AB65" s="514"/>
    </row>
    <row r="66" spans="1:28" ht="18" customHeight="1">
      <c r="A66" s="532"/>
      <c r="B66" s="538">
        <f>B65+1</f>
        <v>42</v>
      </c>
      <c r="C66" s="540">
        <f>IF(AND(I65&gt;0,I65&lt;31),I65+1,0)</f>
        <v>5</v>
      </c>
      <c r="D66" s="541">
        <f t="shared" ref="D66:I70" si="9">IF(AND(C66&gt;0,C66&lt;31),C66+1,0)</f>
        <v>6</v>
      </c>
      <c r="E66" s="541">
        <f t="shared" si="9"/>
        <v>7</v>
      </c>
      <c r="F66" s="541">
        <f t="shared" si="9"/>
        <v>8</v>
      </c>
      <c r="G66" s="541">
        <f t="shared" si="9"/>
        <v>9</v>
      </c>
      <c r="H66" s="541">
        <f t="shared" si="9"/>
        <v>10</v>
      </c>
      <c r="I66" s="542">
        <f t="shared" si="9"/>
        <v>11</v>
      </c>
      <c r="J66" s="537"/>
      <c r="K66" s="538">
        <f>K65+1</f>
        <v>46</v>
      </c>
      <c r="L66" s="561">
        <f>IF(AND(R65&gt;0,R65&lt;30),R65+1,0)</f>
        <v>2</v>
      </c>
      <c r="M66" s="541">
        <f t="shared" ref="M66:R70" si="10">IF(AND(L66&gt;0,L66&lt;30),L66+1,0)</f>
        <v>3</v>
      </c>
      <c r="N66" s="541">
        <f t="shared" si="10"/>
        <v>4</v>
      </c>
      <c r="O66" s="541">
        <f t="shared" si="10"/>
        <v>5</v>
      </c>
      <c r="P66" s="541">
        <f t="shared" si="10"/>
        <v>6</v>
      </c>
      <c r="Q66" s="541">
        <f t="shared" si="10"/>
        <v>7</v>
      </c>
      <c r="R66" s="542">
        <f t="shared" si="10"/>
        <v>8</v>
      </c>
      <c r="S66" s="537"/>
      <c r="T66" s="538">
        <f>T65+1</f>
        <v>51</v>
      </c>
      <c r="U66" s="540">
        <f>IF(AND(AA65&gt;0,AA65&lt;31),AA65+1,0)</f>
        <v>7</v>
      </c>
      <c r="V66" s="541">
        <f t="shared" ref="V66:AA70" si="11">IF(AND(U66&gt;0,U66&lt;31),U66+1,0)</f>
        <v>8</v>
      </c>
      <c r="W66" s="541">
        <f t="shared" si="11"/>
        <v>9</v>
      </c>
      <c r="X66" s="541">
        <f t="shared" si="11"/>
        <v>10</v>
      </c>
      <c r="Y66" s="541">
        <f t="shared" si="11"/>
        <v>11</v>
      </c>
      <c r="Z66" s="562">
        <f t="shared" si="11"/>
        <v>12</v>
      </c>
      <c r="AA66" s="542">
        <f t="shared" si="11"/>
        <v>13</v>
      </c>
      <c r="AB66" s="514"/>
    </row>
    <row r="67" spans="1:28" ht="18" customHeight="1">
      <c r="A67" s="532"/>
      <c r="B67" s="538">
        <f>B66+1</f>
        <v>43</v>
      </c>
      <c r="C67" s="540">
        <f>IF(AND(I66&gt;0,I66&lt;31),I66+1,0)</f>
        <v>12</v>
      </c>
      <c r="D67" s="541">
        <f t="shared" si="9"/>
        <v>13</v>
      </c>
      <c r="E67" s="541">
        <f t="shared" si="9"/>
        <v>14</v>
      </c>
      <c r="F67" s="541">
        <f t="shared" si="9"/>
        <v>15</v>
      </c>
      <c r="G67" s="541">
        <f t="shared" si="9"/>
        <v>16</v>
      </c>
      <c r="H67" s="541">
        <f t="shared" si="9"/>
        <v>17</v>
      </c>
      <c r="I67" s="542">
        <f t="shared" si="9"/>
        <v>18</v>
      </c>
      <c r="J67" s="537"/>
      <c r="K67" s="538">
        <f>K66+1</f>
        <v>47</v>
      </c>
      <c r="L67" s="561">
        <f>IF(AND(R66&gt;0,R66&lt;30),R66+1,0)</f>
        <v>9</v>
      </c>
      <c r="M67" s="541">
        <f t="shared" si="10"/>
        <v>10</v>
      </c>
      <c r="N67" s="541">
        <f t="shared" si="10"/>
        <v>11</v>
      </c>
      <c r="O67" s="541">
        <f t="shared" si="10"/>
        <v>12</v>
      </c>
      <c r="P67" s="541">
        <f t="shared" si="10"/>
        <v>13</v>
      </c>
      <c r="Q67" s="541">
        <f t="shared" si="10"/>
        <v>14</v>
      </c>
      <c r="R67" s="542">
        <f t="shared" si="10"/>
        <v>15</v>
      </c>
      <c r="S67" s="537"/>
      <c r="T67" s="538">
        <f>T66+1</f>
        <v>52</v>
      </c>
      <c r="U67" s="540">
        <f>IF(AND(AA66&gt;0,AA66&lt;31),AA66+1,0)</f>
        <v>14</v>
      </c>
      <c r="V67" s="541">
        <f t="shared" si="11"/>
        <v>15</v>
      </c>
      <c r="W67" s="541">
        <f t="shared" si="11"/>
        <v>16</v>
      </c>
      <c r="X67" s="541">
        <f t="shared" si="11"/>
        <v>17</v>
      </c>
      <c r="Y67" s="541">
        <f t="shared" si="11"/>
        <v>18</v>
      </c>
      <c r="Z67" s="562">
        <f t="shared" si="11"/>
        <v>19</v>
      </c>
      <c r="AA67" s="542">
        <f t="shared" si="11"/>
        <v>20</v>
      </c>
      <c r="AB67" s="514"/>
    </row>
    <row r="68" spans="1:28" ht="18" customHeight="1">
      <c r="A68" s="532"/>
      <c r="B68" s="538">
        <f>B67+1</f>
        <v>44</v>
      </c>
      <c r="C68" s="540">
        <f>IF(AND(I67&gt;0,I67&lt;31),I67+1,0)</f>
        <v>19</v>
      </c>
      <c r="D68" s="541">
        <f t="shared" si="9"/>
        <v>20</v>
      </c>
      <c r="E68" s="541">
        <f t="shared" si="9"/>
        <v>21</v>
      </c>
      <c r="F68" s="541">
        <f t="shared" si="9"/>
        <v>22</v>
      </c>
      <c r="G68" s="541">
        <f t="shared" si="9"/>
        <v>23</v>
      </c>
      <c r="H68" s="541">
        <f t="shared" si="9"/>
        <v>24</v>
      </c>
      <c r="I68" s="542">
        <f t="shared" si="9"/>
        <v>25</v>
      </c>
      <c r="J68" s="537"/>
      <c r="K68" s="538">
        <f>K67+1</f>
        <v>48</v>
      </c>
      <c r="L68" s="561">
        <f>IF(AND(R67&gt;0,R67&lt;30),R67+1,0)</f>
        <v>16</v>
      </c>
      <c r="M68" s="541">
        <f t="shared" si="10"/>
        <v>17</v>
      </c>
      <c r="N68" s="541">
        <f t="shared" si="10"/>
        <v>18</v>
      </c>
      <c r="O68" s="541">
        <f t="shared" si="10"/>
        <v>19</v>
      </c>
      <c r="P68" s="541">
        <f t="shared" si="10"/>
        <v>20</v>
      </c>
      <c r="Q68" s="541">
        <f t="shared" si="10"/>
        <v>21</v>
      </c>
      <c r="R68" s="542">
        <f t="shared" si="10"/>
        <v>22</v>
      </c>
      <c r="S68" s="537"/>
      <c r="T68" s="538">
        <f>T67+1</f>
        <v>53</v>
      </c>
      <c r="U68" s="540">
        <f>IF(AND(AA67&gt;0,AA67&lt;31),AA67+1,0)</f>
        <v>21</v>
      </c>
      <c r="V68" s="541">
        <f t="shared" si="11"/>
        <v>22</v>
      </c>
      <c r="W68" s="541">
        <f t="shared" si="11"/>
        <v>23</v>
      </c>
      <c r="X68" s="541">
        <f t="shared" si="11"/>
        <v>24</v>
      </c>
      <c r="Y68" s="541">
        <f t="shared" si="11"/>
        <v>25</v>
      </c>
      <c r="Z68" s="562">
        <f t="shared" si="11"/>
        <v>26</v>
      </c>
      <c r="AA68" s="542">
        <f t="shared" si="11"/>
        <v>27</v>
      </c>
      <c r="AB68" s="514"/>
    </row>
    <row r="69" spans="1:28" ht="18" customHeight="1">
      <c r="A69" s="532"/>
      <c r="B69" s="538">
        <f>B68+1</f>
        <v>45</v>
      </c>
      <c r="C69" s="540">
        <f>IF(AND(I68&gt;0,I68&lt;31),I68+1,0)</f>
        <v>26</v>
      </c>
      <c r="D69" s="541">
        <f t="shared" si="9"/>
        <v>27</v>
      </c>
      <c r="E69" s="541">
        <f t="shared" si="9"/>
        <v>28</v>
      </c>
      <c r="F69" s="541">
        <f t="shared" si="9"/>
        <v>29</v>
      </c>
      <c r="G69" s="541">
        <f t="shared" si="9"/>
        <v>30</v>
      </c>
      <c r="H69" s="541">
        <f t="shared" si="9"/>
        <v>31</v>
      </c>
      <c r="I69" s="542">
        <f t="shared" si="9"/>
        <v>0</v>
      </c>
      <c r="J69" s="537"/>
      <c r="K69" s="538">
        <f>K68+1</f>
        <v>49</v>
      </c>
      <c r="L69" s="561">
        <f>IF(AND(R68&gt;0,R68&lt;30),R68+1,0)</f>
        <v>23</v>
      </c>
      <c r="M69" s="541">
        <f t="shared" si="10"/>
        <v>24</v>
      </c>
      <c r="N69" s="541">
        <f t="shared" si="10"/>
        <v>25</v>
      </c>
      <c r="O69" s="541">
        <f t="shared" si="10"/>
        <v>26</v>
      </c>
      <c r="P69" s="541">
        <f t="shared" si="10"/>
        <v>27</v>
      </c>
      <c r="Q69" s="541">
        <f t="shared" si="10"/>
        <v>28</v>
      </c>
      <c r="R69" s="542">
        <f t="shared" si="10"/>
        <v>29</v>
      </c>
      <c r="S69" s="537"/>
      <c r="T69" s="538">
        <f>T68+1</f>
        <v>54</v>
      </c>
      <c r="U69" s="540">
        <f>IF(AND(AA68&gt;0,AA68&lt;31),AA68+1,0)</f>
        <v>28</v>
      </c>
      <c r="V69" s="541">
        <f t="shared" si="11"/>
        <v>29</v>
      </c>
      <c r="W69" s="541">
        <f t="shared" si="11"/>
        <v>30</v>
      </c>
      <c r="X69" s="541">
        <f t="shared" si="11"/>
        <v>31</v>
      </c>
      <c r="Y69" s="541">
        <f t="shared" si="11"/>
        <v>0</v>
      </c>
      <c r="Z69" s="562">
        <f t="shared" si="11"/>
        <v>0</v>
      </c>
      <c r="AA69" s="542">
        <f t="shared" si="11"/>
        <v>0</v>
      </c>
      <c r="AB69" s="514"/>
    </row>
    <row r="70" spans="1:28" ht="18" customHeight="1" thickBot="1">
      <c r="A70" s="532"/>
      <c r="B70" s="548">
        <f>IF(C70=0,0,B69+1)</f>
        <v>0</v>
      </c>
      <c r="C70" s="549">
        <f>IF(AND(I69&gt;0,I69&lt;31),I69+1,0)</f>
        <v>0</v>
      </c>
      <c r="D70" s="546">
        <f t="shared" si="9"/>
        <v>0</v>
      </c>
      <c r="E70" s="546">
        <f t="shared" si="9"/>
        <v>0</v>
      </c>
      <c r="F70" s="546">
        <f t="shared" si="9"/>
        <v>0</v>
      </c>
      <c r="G70" s="546">
        <f t="shared" si="9"/>
        <v>0</v>
      </c>
      <c r="H70" s="546">
        <f t="shared" si="9"/>
        <v>0</v>
      </c>
      <c r="I70" s="547">
        <f t="shared" si="9"/>
        <v>0</v>
      </c>
      <c r="J70" s="537"/>
      <c r="K70" s="548">
        <f>IF(L70=0,0,K69+1)</f>
        <v>50</v>
      </c>
      <c r="L70" s="549">
        <f>IF(AND(R69&gt;0,R69&lt;30),R69+1,0)</f>
        <v>30</v>
      </c>
      <c r="M70" s="546">
        <f t="shared" si="10"/>
        <v>0</v>
      </c>
      <c r="N70" s="546">
        <f t="shared" si="10"/>
        <v>0</v>
      </c>
      <c r="O70" s="546">
        <f t="shared" si="10"/>
        <v>0</v>
      </c>
      <c r="P70" s="546">
        <f t="shared" si="10"/>
        <v>0</v>
      </c>
      <c r="Q70" s="546">
        <f t="shared" si="10"/>
        <v>0</v>
      </c>
      <c r="R70" s="547">
        <f t="shared" si="10"/>
        <v>0</v>
      </c>
      <c r="S70" s="537"/>
      <c r="T70" s="548">
        <f>IF(U70=0,0,T69+1)</f>
        <v>0</v>
      </c>
      <c r="U70" s="545">
        <f>IF(AND(AA69&gt;0,AA69&lt;31),AA69+1,0)</f>
        <v>0</v>
      </c>
      <c r="V70" s="546">
        <f t="shared" si="11"/>
        <v>0</v>
      </c>
      <c r="W70" s="546">
        <f t="shared" si="11"/>
        <v>0</v>
      </c>
      <c r="X70" s="546">
        <f t="shared" si="11"/>
        <v>0</v>
      </c>
      <c r="Y70" s="546">
        <f t="shared" si="11"/>
        <v>0</v>
      </c>
      <c r="Z70" s="546">
        <f t="shared" si="11"/>
        <v>0</v>
      </c>
      <c r="AA70" s="547">
        <f t="shared" si="11"/>
        <v>0</v>
      </c>
      <c r="AB70" s="514"/>
    </row>
    <row r="71" spans="1:28" ht="18" customHeight="1">
      <c r="A71" s="526"/>
      <c r="B71" s="513"/>
      <c r="C71" s="513"/>
      <c r="D71" s="513"/>
      <c r="E71" s="513"/>
      <c r="F71" s="513"/>
      <c r="G71" s="513"/>
      <c r="H71" s="513"/>
      <c r="I71" s="513"/>
      <c r="J71" s="513"/>
      <c r="K71" s="513"/>
      <c r="L71" s="513"/>
      <c r="M71" s="513"/>
      <c r="N71" s="513"/>
      <c r="O71" s="513"/>
      <c r="P71" s="513"/>
      <c r="Q71" s="513"/>
      <c r="R71" s="513"/>
      <c r="S71" s="513"/>
      <c r="T71" s="513"/>
      <c r="U71" s="513"/>
      <c r="V71" s="513"/>
      <c r="W71" s="513"/>
      <c r="X71" s="513"/>
      <c r="Y71" s="513"/>
      <c r="Z71" s="513"/>
      <c r="AA71" s="513"/>
      <c r="AB71" s="514"/>
    </row>
    <row r="72" spans="1:28" ht="18" customHeight="1" thickBot="1">
      <c r="A72" s="563"/>
      <c r="B72" s="564"/>
      <c r="C72" s="565"/>
      <c r="D72" s="566"/>
      <c r="E72" s="566"/>
      <c r="F72" s="566"/>
      <c r="G72" s="566"/>
      <c r="H72" s="566"/>
      <c r="I72" s="566"/>
      <c r="J72" s="566"/>
      <c r="K72" s="566"/>
      <c r="L72" s="566"/>
      <c r="M72" s="567"/>
      <c r="N72" s="568"/>
      <c r="O72" s="568"/>
      <c r="P72" s="564"/>
      <c r="Q72" s="564"/>
      <c r="R72" s="564"/>
      <c r="S72" s="564"/>
      <c r="T72" s="564"/>
      <c r="U72" s="564"/>
      <c r="V72" s="564"/>
      <c r="W72" s="564"/>
      <c r="X72" s="564"/>
      <c r="Y72" s="564"/>
      <c r="Z72" s="564"/>
      <c r="AA72" s="569"/>
      <c r="AB72" s="570"/>
    </row>
  </sheetData>
  <mergeCells count="15">
    <mergeCell ref="B49:I49"/>
    <mergeCell ref="K49:R49"/>
    <mergeCell ref="T49:AA49"/>
    <mergeCell ref="T63:AA63"/>
    <mergeCell ref="K63:R63"/>
    <mergeCell ref="B63:I63"/>
    <mergeCell ref="T21:AA21"/>
    <mergeCell ref="T35:AA35"/>
    <mergeCell ref="K35:R35"/>
    <mergeCell ref="B35:I35"/>
    <mergeCell ref="I8:K8"/>
    <mergeCell ref="P12:Q12"/>
    <mergeCell ref="J12:O12"/>
    <mergeCell ref="B21:I21"/>
    <mergeCell ref="K21:R21"/>
  </mergeCells>
  <phoneticPr fontId="2" type="noConversion"/>
  <printOptions horizontalCentered="1" verticalCentered="1" gridLinesSet="0"/>
  <pageMargins left="0.23622047244094491" right="0.27559055118110237" top="0.25" bottom="0.2" header="0.25" footer="0.5"/>
  <pageSetup paperSize="9" scale="76" orientation="portrait" horizontalDpi="300" verticalDpi="300" r:id="rId1"/>
  <headerFooter alignWithMargins="0">
    <oddFooter>&amp;C&amp;"Trebuchet MS,Bold"&amp;10 Patni GE Confidential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Sheet18">
    <tabColor indexed="20"/>
  </sheetPr>
  <dimension ref="B1:H24"/>
  <sheetViews>
    <sheetView showGridLines="0" showRowColHeaders="0" zoomScale="75" workbookViewId="0">
      <selection activeCell="K21" sqref="K21"/>
    </sheetView>
  </sheetViews>
  <sheetFormatPr defaultColWidth="9.81640625" defaultRowHeight="15"/>
  <cols>
    <col min="1" max="1" width="7.81640625" customWidth="1"/>
    <col min="2" max="2" width="14.81640625" customWidth="1"/>
    <col min="4" max="4" width="12.81640625" customWidth="1"/>
    <col min="8" max="8" width="10.81640625" customWidth="1"/>
  </cols>
  <sheetData>
    <row r="1" spans="2:8" ht="15.6" thickBot="1"/>
    <row r="2" spans="2:8" ht="23.4" thickTop="1">
      <c r="B2" s="7" t="s">
        <v>1047</v>
      </c>
      <c r="C2" s="25"/>
      <c r="D2" s="25"/>
      <c r="E2" s="25"/>
      <c r="F2" s="25"/>
      <c r="G2" s="25"/>
      <c r="H2" s="26"/>
    </row>
    <row r="3" spans="2:8" ht="15.6">
      <c r="B3" s="79" t="s">
        <v>1048</v>
      </c>
      <c r="C3" s="11"/>
      <c r="D3" s="11"/>
      <c r="E3" s="11"/>
      <c r="F3" s="11"/>
      <c r="G3" s="11"/>
      <c r="H3" s="13"/>
    </row>
    <row r="4" spans="2:8">
      <c r="B4" s="53" t="str">
        <f>IF(D4="","",+D4)</f>
        <v/>
      </c>
      <c r="C4" s="50" t="s">
        <v>90</v>
      </c>
      <c r="D4" s="3"/>
      <c r="E4" s="127" t="str">
        <f>IF(D4+D5+D6="","",TRUNC(B4))</f>
        <v/>
      </c>
      <c r="F4" s="15" t="s">
        <v>90</v>
      </c>
      <c r="G4" s="38" t="s">
        <v>1049</v>
      </c>
      <c r="H4" s="17" t="str">
        <f>IF(D4+D5+D6="","",SIN(B7/180*PI()))</f>
        <v/>
      </c>
    </row>
    <row r="5" spans="2:8">
      <c r="B5" s="53" t="str">
        <f>IF(D5="","",D5/60)</f>
        <v/>
      </c>
      <c r="C5" s="50" t="s">
        <v>111</v>
      </c>
      <c r="D5" s="3"/>
      <c r="E5" s="18" t="str">
        <f>IF(D4+D5+D6="","",TRUNC((B7-E4)*60))</f>
        <v/>
      </c>
      <c r="F5" s="15" t="s">
        <v>111</v>
      </c>
      <c r="G5" s="38" t="s">
        <v>1050</v>
      </c>
      <c r="H5" s="17" t="str">
        <f>IF(D4+D5+D6="","",COS(B7/180*PI()))</f>
        <v/>
      </c>
    </row>
    <row r="6" spans="2:8">
      <c r="B6" s="75" t="str">
        <f>IF(D6="","",D6/3600)</f>
        <v/>
      </c>
      <c r="C6" s="50" t="s">
        <v>112</v>
      </c>
      <c r="D6" s="3"/>
      <c r="E6" s="132" t="str">
        <f>IF(D4+D5+D6="","",((B7-E4)*60-E5)*60)</f>
        <v/>
      </c>
      <c r="F6" s="15" t="s">
        <v>112</v>
      </c>
      <c r="G6" s="18"/>
      <c r="H6" s="123"/>
    </row>
    <row r="7" spans="2:8">
      <c r="B7" s="53" t="str">
        <f>IF(D4+D5+D6="","",SUM(B4+B5+B6))</f>
        <v/>
      </c>
      <c r="C7" s="15" t="s">
        <v>113</v>
      </c>
      <c r="D7" s="18"/>
      <c r="E7" s="18"/>
      <c r="F7" s="18"/>
      <c r="G7" s="38" t="s">
        <v>1051</v>
      </c>
      <c r="H7" s="17" t="str">
        <f>IF(D4+D5+D6="","",TAN(B7/180*PI()))</f>
        <v/>
      </c>
    </row>
    <row r="8" spans="2:8">
      <c r="B8" s="36" t="s">
        <v>1052</v>
      </c>
      <c r="C8" s="18"/>
      <c r="D8" s="18"/>
      <c r="E8" s="18"/>
      <c r="F8" s="18"/>
      <c r="G8" s="38" t="s">
        <v>1053</v>
      </c>
      <c r="H8" s="17" t="str">
        <f>IF(D4+D5+D6="","",1/H7)</f>
        <v/>
      </c>
    </row>
    <row r="9" spans="2:8">
      <c r="B9" s="29"/>
      <c r="C9" s="38" t="s">
        <v>1054</v>
      </c>
      <c r="D9" s="126"/>
      <c r="E9" s="18" t="s">
        <v>130</v>
      </c>
      <c r="F9" s="18"/>
      <c r="G9" s="18"/>
      <c r="H9" s="123"/>
    </row>
    <row r="10" spans="2:8">
      <c r="B10" s="29"/>
      <c r="C10" s="38" t="s">
        <v>1054</v>
      </c>
      <c r="D10" s="126"/>
      <c r="E10" s="18" t="s">
        <v>1055</v>
      </c>
      <c r="F10" s="18"/>
      <c r="G10" s="38" t="s">
        <v>1056</v>
      </c>
      <c r="H10" s="17" t="str">
        <f>IF(D4+D5+D6="","",1/H5)</f>
        <v/>
      </c>
    </row>
    <row r="11" spans="2:8">
      <c r="B11" s="131" t="s">
        <v>1057</v>
      </c>
      <c r="C11" s="18"/>
      <c r="D11" s="18"/>
      <c r="E11" s="18"/>
      <c r="F11" s="18"/>
      <c r="G11" s="38" t="s">
        <v>1058</v>
      </c>
      <c r="H11" s="17" t="str">
        <f>IF(D4+D5+D6="","",1/H4)</f>
        <v/>
      </c>
    </row>
    <row r="12" spans="2:8">
      <c r="B12" s="131" t="s">
        <v>1059</v>
      </c>
      <c r="C12" s="18"/>
      <c r="D12" s="130"/>
      <c r="E12" s="15"/>
      <c r="F12" s="18"/>
      <c r="G12" s="38"/>
      <c r="H12" s="17"/>
    </row>
    <row r="13" spans="2:8">
      <c r="B13" s="131" t="s">
        <v>1060</v>
      </c>
      <c r="C13" s="18"/>
      <c r="D13" s="130"/>
      <c r="E13" s="15"/>
      <c r="F13" s="18"/>
      <c r="G13" s="38" t="s">
        <v>1061</v>
      </c>
      <c r="H13" s="17" t="str">
        <f>IF(D4+D5+D6="","",B7*0.0174532925199433)</f>
        <v/>
      </c>
    </row>
    <row r="14" spans="2:8">
      <c r="B14" s="29"/>
      <c r="C14" s="18"/>
      <c r="D14" s="18"/>
      <c r="E14" s="18"/>
      <c r="F14" s="18"/>
      <c r="G14" s="130" t="str">
        <f>IF(D9="","",CONCATENATE("Height needed, in inches, for a ",FIXED(D9,4)," inch sine bar = "))</f>
        <v/>
      </c>
      <c r="H14" s="17" t="str">
        <f>IF(D4+D5+D6="","",IF(D9="","",SUM(H4*D9)))</f>
        <v/>
      </c>
    </row>
    <row r="15" spans="2:8">
      <c r="B15" s="29"/>
      <c r="C15" s="18"/>
      <c r="D15" s="18"/>
      <c r="E15" s="18"/>
      <c r="F15" s="18"/>
      <c r="G15" s="38" t="str">
        <f>IF(D10="","",CONCATENATE("Height needed, in millimeters, for a ",FIXED(D10,3)," millimeter sine bar = "))</f>
        <v/>
      </c>
      <c r="H15" s="17" t="str">
        <f>IF(D4+D5+D6="","",IF(D10="","",SUM(H4*D10)))</f>
        <v/>
      </c>
    </row>
    <row r="16" spans="2:8" ht="15.6" thickBot="1">
      <c r="B16" s="30"/>
      <c r="C16" s="21"/>
      <c r="D16" s="129"/>
      <c r="E16" s="125"/>
      <c r="F16" s="21"/>
      <c r="G16" s="54"/>
      <c r="H16" s="124"/>
    </row>
    <row r="17" spans="2:3" ht="15.6" thickTop="1"/>
    <row r="22" spans="2:3">
      <c r="B22" s="128"/>
    </row>
    <row r="23" spans="2:3">
      <c r="B23" s="128"/>
    </row>
    <row r="24" spans="2:3">
      <c r="B24" s="128"/>
      <c r="C24" s="128"/>
    </row>
  </sheetData>
  <sheetProtection sheet="1" objects="1" scenarios="1"/>
  <phoneticPr fontId="0" type="noConversion"/>
  <printOptions horizontalCentered="1" verticalCentered="1" gridLinesSet="0"/>
  <pageMargins left="0.5" right="0.5" top="0.5" bottom="0.5" header="0.5" footer="0.5"/>
  <pageSetup orientation="landscape" blackAndWhite="1" horizontalDpi="180" verticalDpi="18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codeName="Sheet19"/>
  <dimension ref="A1:Y2001"/>
  <sheetViews>
    <sheetView defaultGridColor="0" colorId="22" zoomScale="87" workbookViewId="0"/>
  </sheetViews>
  <sheetFormatPr defaultColWidth="9.81640625" defaultRowHeight="15"/>
  <cols>
    <col min="1" max="1" width="7.08984375" style="168" customWidth="1"/>
    <col min="2" max="2" width="7.08984375" style="287" customWidth="1"/>
    <col min="3" max="3" width="3" style="168" customWidth="1"/>
    <col min="4" max="4" width="6.08984375" style="1" customWidth="1"/>
    <col min="5" max="5" width="3.81640625" customWidth="1"/>
    <col min="6" max="6" width="6.453125" customWidth="1"/>
    <col min="7" max="7" width="7.08984375" customWidth="1"/>
    <col min="8" max="8" width="3.81640625" customWidth="1"/>
    <col min="9" max="9" width="6.453125" customWidth="1"/>
    <col min="10" max="10" width="8.6328125" customWidth="1"/>
    <col min="11" max="11" width="3.81640625" customWidth="1"/>
    <col min="12" max="12" width="7.08984375" customWidth="1"/>
    <col min="13" max="13" width="6.453125" customWidth="1"/>
    <col min="14" max="14" width="3.81640625" customWidth="1"/>
    <col min="15" max="15" width="6.453125" customWidth="1"/>
    <col min="16" max="16" width="5.453125" customWidth="1"/>
    <col min="17" max="17" width="6.453125" customWidth="1"/>
    <col min="18" max="18" width="5.453125" customWidth="1"/>
    <col min="19" max="19" width="21.54296875" hidden="1" customWidth="1"/>
    <col min="20" max="20" width="21.6328125" hidden="1" customWidth="1"/>
    <col min="22" max="22" width="56.81640625" customWidth="1"/>
    <col min="23" max="24" width="26.6328125" customWidth="1"/>
    <col min="25" max="25" width="16.81640625" customWidth="1"/>
    <col min="27" max="27" width="16.08984375" bestFit="1" customWidth="1"/>
    <col min="28" max="28" width="21.453125" bestFit="1" customWidth="1"/>
    <col min="29" max="29" width="12.1796875" customWidth="1"/>
  </cols>
  <sheetData>
    <row r="1" spans="1:25">
      <c r="A1" s="274" t="s">
        <v>1062</v>
      </c>
      <c r="B1" s="275"/>
      <c r="C1" s="274"/>
      <c r="D1" s="276"/>
      <c r="F1" s="274" t="s">
        <v>127</v>
      </c>
      <c r="G1" s="274"/>
      <c r="I1" s="274" t="s">
        <v>143</v>
      </c>
      <c r="J1" s="274"/>
      <c r="L1" s="274" t="s">
        <v>140</v>
      </c>
      <c r="M1" s="274"/>
      <c r="O1" s="274" t="s">
        <v>142</v>
      </c>
      <c r="P1" s="274"/>
      <c r="Q1" s="274"/>
      <c r="R1" s="274"/>
      <c r="S1" s="274" t="s">
        <v>1063</v>
      </c>
      <c r="T1" s="274"/>
      <c r="V1" t="s">
        <v>1064</v>
      </c>
      <c r="W1" t="s">
        <v>94</v>
      </c>
      <c r="X1" t="s">
        <v>95</v>
      </c>
      <c r="Y1" t="s">
        <v>1065</v>
      </c>
    </row>
    <row r="2" spans="1:25">
      <c r="A2"/>
      <c r="B2" s="277">
        <v>5.8999999999999999E-3</v>
      </c>
      <c r="C2" s="168">
        <v>97</v>
      </c>
      <c r="D2" s="278">
        <v>0.15</v>
      </c>
      <c r="F2" s="279">
        <v>0.22800000000000001</v>
      </c>
      <c r="G2" s="280">
        <v>1</v>
      </c>
      <c r="I2" s="279">
        <v>0.23400000000000001</v>
      </c>
      <c r="J2" s="280" t="s">
        <v>952</v>
      </c>
      <c r="L2" s="280" t="s">
        <v>953</v>
      </c>
      <c r="M2" s="279">
        <v>1.5599999999999999E-2</v>
      </c>
      <c r="O2" s="279">
        <v>5.8999999999999999E-3</v>
      </c>
      <c r="P2" s="281">
        <v>0.15</v>
      </c>
      <c r="Q2" s="279">
        <v>1.4961</v>
      </c>
      <c r="R2" s="281">
        <v>38</v>
      </c>
      <c r="S2" s="282">
        <v>1</v>
      </c>
      <c r="T2" t="s">
        <v>1066</v>
      </c>
      <c r="V2" t="str">
        <f>IF(W2="","",W2&amp;" &lt;&lt;&lt;&gt;&gt;&gt; "&amp;X2)</f>
        <v>Abampere &lt;&lt;&lt;&gt;&gt;&gt; Ampere</v>
      </c>
      <c r="W2" t="s">
        <v>1067</v>
      </c>
      <c r="X2" t="s">
        <v>1068</v>
      </c>
      <c r="Y2">
        <v>10</v>
      </c>
    </row>
    <row r="3" spans="1:25">
      <c r="A3"/>
      <c r="B3" s="277">
        <v>6.3E-3</v>
      </c>
      <c r="C3" s="168">
        <v>96</v>
      </c>
      <c r="D3" s="278">
        <v>0.16</v>
      </c>
      <c r="F3" s="279">
        <v>0.221</v>
      </c>
      <c r="G3" s="280">
        <v>2</v>
      </c>
      <c r="I3" s="279">
        <v>0.23800000000000002</v>
      </c>
      <c r="J3" s="280" t="s">
        <v>150</v>
      </c>
      <c r="L3" s="280" t="s">
        <v>954</v>
      </c>
      <c r="M3" s="279">
        <v>3.1199999999999999E-2</v>
      </c>
      <c r="O3" s="279">
        <v>6.3E-3</v>
      </c>
      <c r="P3" s="281">
        <v>0.16</v>
      </c>
      <c r="Q3" s="279">
        <v>1.4763999999999999</v>
      </c>
      <c r="R3" s="281">
        <v>37.5</v>
      </c>
      <c r="S3" s="283">
        <f>INDEX(A2:A421,S2)</f>
        <v>0</v>
      </c>
      <c r="T3" t="s">
        <v>140</v>
      </c>
      <c r="V3" t="str">
        <f t="shared" ref="V3:V66" si="0">IF(W3="","",W3&amp;" &lt;&lt;&lt;&gt;&gt;&gt; "&amp;X3)</f>
        <v>Abampere &lt;&lt;&lt;&gt;&gt;&gt; Faradays/sec (chem)</v>
      </c>
      <c r="W3" t="s">
        <v>1067</v>
      </c>
      <c r="X3" t="s">
        <v>1069</v>
      </c>
      <c r="Y3">
        <v>1.03638E-4</v>
      </c>
    </row>
    <row r="4" spans="1:25">
      <c r="A4"/>
      <c r="B4" s="277">
        <v>6.7000000000000002E-3</v>
      </c>
      <c r="C4" s="168">
        <v>95</v>
      </c>
      <c r="D4" s="278">
        <v>0.17</v>
      </c>
      <c r="F4" s="279">
        <v>0.21299999999999999</v>
      </c>
      <c r="G4" s="280">
        <v>3</v>
      </c>
      <c r="I4" s="279">
        <v>0.24199999999999999</v>
      </c>
      <c r="J4" s="280" t="s">
        <v>152</v>
      </c>
      <c r="L4" s="280" t="s">
        <v>157</v>
      </c>
      <c r="M4" s="279">
        <v>4.6900000000000004E-2</v>
      </c>
      <c r="O4" s="279">
        <v>6.7000000000000002E-3</v>
      </c>
      <c r="P4" s="281">
        <v>0.17</v>
      </c>
      <c r="Q4" s="279">
        <v>1.4567000000000001</v>
      </c>
      <c r="R4" s="281">
        <v>37</v>
      </c>
      <c r="S4" s="283">
        <f>INDEX(C2:C421,S2)</f>
        <v>97</v>
      </c>
      <c r="T4" t="s">
        <v>1070</v>
      </c>
      <c r="V4" t="str">
        <f t="shared" si="0"/>
        <v>Abampere &lt;&lt;&lt;&gt;&gt;&gt; Statamperes</v>
      </c>
      <c r="W4" t="s">
        <v>1067</v>
      </c>
      <c r="X4" t="s">
        <v>1071</v>
      </c>
      <c r="Y4">
        <v>29979300000</v>
      </c>
    </row>
    <row r="5" spans="1:25">
      <c r="A5"/>
      <c r="B5" s="277">
        <v>7.1000000000000004E-3</v>
      </c>
      <c r="C5" s="168">
        <v>94</v>
      </c>
      <c r="D5" s="278">
        <v>0.18</v>
      </c>
      <c r="F5" s="279">
        <v>0.20899999999999999</v>
      </c>
      <c r="G5" s="280">
        <v>4</v>
      </c>
      <c r="I5" s="279">
        <v>0.246</v>
      </c>
      <c r="J5" s="280" t="s">
        <v>154</v>
      </c>
      <c r="L5" s="280" t="s">
        <v>177</v>
      </c>
      <c r="M5" s="279">
        <v>6.25E-2</v>
      </c>
      <c r="O5" s="279">
        <v>7.1000000000000004E-3</v>
      </c>
      <c r="P5" s="281">
        <v>0.18</v>
      </c>
      <c r="Q5" s="279">
        <v>1.4370000000000001</v>
      </c>
      <c r="R5" s="281">
        <v>36.5</v>
      </c>
      <c r="S5" s="283">
        <f>INDEX(D2:D421,S2)</f>
        <v>0.15</v>
      </c>
      <c r="T5" t="s">
        <v>1072</v>
      </c>
      <c r="V5" t="str">
        <f t="shared" si="0"/>
        <v>Abcoulomb &lt;&lt;&lt;&gt;&gt;&gt; Ampere - hours</v>
      </c>
      <c r="W5" t="s">
        <v>1073</v>
      </c>
      <c r="X5" t="s">
        <v>1074</v>
      </c>
      <c r="Y5">
        <v>2.7799999999999999E-3</v>
      </c>
    </row>
    <row r="6" spans="1:25">
      <c r="A6"/>
      <c r="B6" s="277">
        <v>7.4999999999999997E-3</v>
      </c>
      <c r="C6" s="168">
        <v>93</v>
      </c>
      <c r="D6" s="278">
        <v>0.19</v>
      </c>
      <c r="F6" s="279">
        <v>0.20550000000000002</v>
      </c>
      <c r="G6" s="280">
        <v>5</v>
      </c>
      <c r="I6" s="279">
        <v>0.25</v>
      </c>
      <c r="J6" s="280" t="s">
        <v>160</v>
      </c>
      <c r="L6" s="280" t="s">
        <v>201</v>
      </c>
      <c r="M6" s="279">
        <v>7.8100000000000003E-2</v>
      </c>
      <c r="O6" s="279">
        <v>7.4999999999999997E-3</v>
      </c>
      <c r="P6" s="281">
        <v>0.19</v>
      </c>
      <c r="Q6" s="279">
        <v>1.4173</v>
      </c>
      <c r="R6" s="281">
        <v>36</v>
      </c>
      <c r="V6" t="str">
        <f t="shared" si="0"/>
        <v xml:space="preserve">Abcoulomb &lt;&lt;&lt;&gt;&gt;&gt; Coulomb </v>
      </c>
      <c r="W6" t="s">
        <v>1073</v>
      </c>
      <c r="X6" t="s">
        <v>1075</v>
      </c>
      <c r="Y6">
        <v>10</v>
      </c>
    </row>
    <row r="7" spans="1:25">
      <c r="A7"/>
      <c r="B7" s="277">
        <v>7.9000000000000008E-3</v>
      </c>
      <c r="C7" s="168">
        <v>92</v>
      </c>
      <c r="D7" s="278">
        <v>0.2</v>
      </c>
      <c r="F7" s="279">
        <v>0.20400000000000001</v>
      </c>
      <c r="G7" s="280">
        <v>6</v>
      </c>
      <c r="I7" s="279">
        <v>0.25700000000000001</v>
      </c>
      <c r="J7" s="280" t="s">
        <v>164</v>
      </c>
      <c r="L7" s="280" t="s">
        <v>225</v>
      </c>
      <c r="M7" s="279">
        <v>9.3800000000000008E-2</v>
      </c>
      <c r="O7" s="279">
        <v>7.9000000000000008E-3</v>
      </c>
      <c r="P7" s="281">
        <v>0.2</v>
      </c>
      <c r="Q7" s="279">
        <v>1.3976</v>
      </c>
      <c r="R7" s="281">
        <v>35.5</v>
      </c>
      <c r="S7" s="274" t="s">
        <v>1076</v>
      </c>
      <c r="T7" s="274"/>
      <c r="V7" t="str">
        <f t="shared" si="0"/>
        <v>Abcoulomb &lt;&lt;&lt;&gt;&gt;&gt; Electronic charges</v>
      </c>
      <c r="W7" t="s">
        <v>1073</v>
      </c>
      <c r="X7" t="s">
        <v>1077</v>
      </c>
      <c r="Y7">
        <v>6.24196E+19</v>
      </c>
    </row>
    <row r="8" spans="1:25">
      <c r="A8"/>
      <c r="B8" s="277">
        <v>8.3000000000000001E-3</v>
      </c>
      <c r="C8" s="168">
        <v>91</v>
      </c>
      <c r="D8" s="278">
        <v>0.21</v>
      </c>
      <c r="F8" s="279">
        <v>0.20100000000000001</v>
      </c>
      <c r="G8" s="280">
        <v>7</v>
      </c>
      <c r="I8" s="279">
        <v>0.26100000000000001</v>
      </c>
      <c r="J8" s="280" t="s">
        <v>167</v>
      </c>
      <c r="L8" s="280" t="s">
        <v>937</v>
      </c>
      <c r="M8" s="279">
        <v>0.1094</v>
      </c>
      <c r="O8" s="279">
        <v>8.3000000000000001E-3</v>
      </c>
      <c r="P8" s="281">
        <v>0.21</v>
      </c>
      <c r="Q8" s="279">
        <v>1.3779999999999999</v>
      </c>
      <c r="R8" s="281">
        <v>35</v>
      </c>
      <c r="S8" s="284">
        <v>1</v>
      </c>
      <c r="T8" t="s">
        <v>1066</v>
      </c>
      <c r="V8" t="str">
        <f t="shared" si="0"/>
        <v>Abcoulomb &lt;&lt;&lt;&gt;&gt;&gt; Faradays (chem)</v>
      </c>
      <c r="W8" t="s">
        <v>1073</v>
      </c>
      <c r="X8" t="s">
        <v>1078</v>
      </c>
      <c r="Y8">
        <v>1.03638E-4</v>
      </c>
    </row>
    <row r="9" spans="1:25">
      <c r="A9"/>
      <c r="B9" s="277">
        <v>8.6999999999999994E-3</v>
      </c>
      <c r="C9" s="168">
        <v>90</v>
      </c>
      <c r="D9" s="278">
        <v>0.22</v>
      </c>
      <c r="F9" s="279">
        <v>0.19900000000000001</v>
      </c>
      <c r="G9" s="280">
        <v>8</v>
      </c>
      <c r="I9" s="279">
        <v>0.26600000000000001</v>
      </c>
      <c r="J9" s="280" t="s">
        <v>174</v>
      </c>
      <c r="L9" s="280" t="s">
        <v>147</v>
      </c>
      <c r="M9" s="279">
        <v>0.125</v>
      </c>
      <c r="O9" s="279">
        <v>8.6999999999999994E-3</v>
      </c>
      <c r="P9" s="285">
        <v>0.22</v>
      </c>
      <c r="Q9" s="279">
        <v>1.3583000000000001</v>
      </c>
      <c r="R9" s="281">
        <v>34.5</v>
      </c>
      <c r="S9">
        <f>INDEX(M2:M97,S8)</f>
        <v>1.5599999999999999E-2</v>
      </c>
      <c r="T9" t="s">
        <v>139</v>
      </c>
      <c r="V9" t="str">
        <f t="shared" si="0"/>
        <v>Abcoulomb &lt;&lt;&lt;&gt;&gt;&gt; Statcoulombs</v>
      </c>
      <c r="W9" t="s">
        <v>1073</v>
      </c>
      <c r="X9" t="s">
        <v>1079</v>
      </c>
      <c r="Y9">
        <v>29979300000</v>
      </c>
    </row>
    <row r="10" spans="1:25">
      <c r="A10"/>
      <c r="B10" s="277">
        <v>9.1000000000000004E-3</v>
      </c>
      <c r="C10" s="168">
        <v>89</v>
      </c>
      <c r="D10" s="278">
        <v>0.23</v>
      </c>
      <c r="F10" s="279">
        <v>0.19600000000000001</v>
      </c>
      <c r="G10" s="280">
        <v>9</v>
      </c>
      <c r="I10" s="279">
        <v>0.27200000000000002</v>
      </c>
      <c r="J10" s="280" t="s">
        <v>180</v>
      </c>
      <c r="L10" s="280" t="s">
        <v>162</v>
      </c>
      <c r="M10" s="279">
        <v>0.1406</v>
      </c>
      <c r="O10" s="279">
        <v>9.1000000000000004E-3</v>
      </c>
      <c r="P10" s="281">
        <v>0.23</v>
      </c>
      <c r="Q10" s="279">
        <v>1.3386</v>
      </c>
      <c r="R10" s="281">
        <v>34</v>
      </c>
      <c r="V10" t="str">
        <f t="shared" si="0"/>
        <v>Abfarads &lt;&lt;&lt;&gt;&gt;&gt; Farads</v>
      </c>
      <c r="W10" t="s">
        <v>1080</v>
      </c>
      <c r="X10" t="s">
        <v>1081</v>
      </c>
      <c r="Y10">
        <v>1.0000000000000001E-9</v>
      </c>
    </row>
    <row r="11" spans="1:25">
      <c r="A11"/>
      <c r="B11" s="277">
        <v>9.4000000000000004E-3</v>
      </c>
      <c r="D11" s="278">
        <v>0.24</v>
      </c>
      <c r="F11" s="279">
        <v>0.19350000000000001</v>
      </c>
      <c r="G11" s="280">
        <v>10</v>
      </c>
      <c r="I11" s="279">
        <v>0.27700000000000002</v>
      </c>
      <c r="J11" s="280" t="s">
        <v>183</v>
      </c>
      <c r="L11" s="280" t="s">
        <v>179</v>
      </c>
      <c r="M11" s="279">
        <v>0.15620000000000001</v>
      </c>
      <c r="O11" s="279">
        <v>9.4000000000000004E-3</v>
      </c>
      <c r="P11" s="281">
        <v>0.24</v>
      </c>
      <c r="Q11" s="279">
        <v>1.3189</v>
      </c>
      <c r="R11" s="281">
        <v>33.5</v>
      </c>
      <c r="S11" s="274" t="s">
        <v>1082</v>
      </c>
      <c r="T11" s="274"/>
      <c r="V11" t="str">
        <f t="shared" si="0"/>
        <v>Abfarads &lt;&lt;&lt;&gt;&gt;&gt; Microfarads</v>
      </c>
      <c r="W11" t="s">
        <v>1080</v>
      </c>
      <c r="X11" t="s">
        <v>1083</v>
      </c>
      <c r="Y11">
        <v>1.0000000000000001E-15</v>
      </c>
    </row>
    <row r="12" spans="1:25">
      <c r="A12"/>
      <c r="B12" s="277">
        <v>9.4999999999999998E-3</v>
      </c>
      <c r="C12" s="168">
        <v>88</v>
      </c>
      <c r="D12" s="278"/>
      <c r="F12" s="279">
        <v>0.191</v>
      </c>
      <c r="G12" s="280">
        <v>11</v>
      </c>
      <c r="I12" s="279">
        <v>0.28100000000000003</v>
      </c>
      <c r="J12" s="280" t="s">
        <v>186</v>
      </c>
      <c r="L12" s="280" t="s">
        <v>197</v>
      </c>
      <c r="M12" s="279">
        <v>0.1719</v>
      </c>
      <c r="O12" s="279">
        <v>9.7999999999999997E-3</v>
      </c>
      <c r="P12" s="281">
        <v>0.25</v>
      </c>
      <c r="Q12" s="279">
        <v>1.2991999999999999</v>
      </c>
      <c r="R12" s="281">
        <v>33</v>
      </c>
      <c r="S12" s="284">
        <v>1</v>
      </c>
      <c r="T12" t="s">
        <v>1066</v>
      </c>
      <c r="V12" t="str">
        <f t="shared" si="0"/>
        <v>Abfarads &lt;&lt;&lt;&gt;&gt;&gt; Statfarads</v>
      </c>
      <c r="W12" t="s">
        <v>1080</v>
      </c>
      <c r="X12" t="s">
        <v>1084</v>
      </c>
      <c r="Y12">
        <v>8.9875800000000007E+20</v>
      </c>
    </row>
    <row r="13" spans="1:25">
      <c r="A13"/>
      <c r="B13" s="277">
        <v>9.7999999999999997E-3</v>
      </c>
      <c r="D13" s="278">
        <v>0.25</v>
      </c>
      <c r="F13" s="279">
        <v>0.189</v>
      </c>
      <c r="G13" s="280">
        <v>12</v>
      </c>
      <c r="I13" s="279">
        <v>0.28999999999999998</v>
      </c>
      <c r="J13" s="280" t="s">
        <v>194</v>
      </c>
      <c r="L13" s="280" t="s">
        <v>214</v>
      </c>
      <c r="M13" s="279">
        <v>0.1875</v>
      </c>
      <c r="O13" s="279">
        <v>1.0200000000000001E-2</v>
      </c>
      <c r="P13" s="281">
        <v>0.26</v>
      </c>
      <c r="Q13" s="279">
        <v>1.2795000000000001</v>
      </c>
      <c r="R13" s="281">
        <v>32.5</v>
      </c>
      <c r="S13">
        <f>INDEX(I2:I27,S12)</f>
        <v>0.23400000000000001</v>
      </c>
      <c r="T13" t="s">
        <v>139</v>
      </c>
      <c r="V13" t="str">
        <f t="shared" si="0"/>
        <v>Abhenries &lt;&lt;&lt;&gt;&gt;&gt; Henries</v>
      </c>
      <c r="W13" t="s">
        <v>1085</v>
      </c>
      <c r="X13" t="s">
        <v>1086</v>
      </c>
      <c r="Y13">
        <v>1.0000000000000001E-9</v>
      </c>
    </row>
    <row r="14" spans="1:25">
      <c r="A14"/>
      <c r="B14" s="277">
        <v>0.01</v>
      </c>
      <c r="C14" s="168">
        <v>87</v>
      </c>
      <c r="D14" s="278"/>
      <c r="F14" s="279">
        <v>0.185</v>
      </c>
      <c r="G14" s="280">
        <v>13</v>
      </c>
      <c r="I14" s="279">
        <v>0.29499999999999998</v>
      </c>
      <c r="J14" s="280" t="s">
        <v>198</v>
      </c>
      <c r="L14" s="280" t="s">
        <v>922</v>
      </c>
      <c r="M14" s="279">
        <v>0.2031</v>
      </c>
      <c r="O14" s="279">
        <v>1.06E-2</v>
      </c>
      <c r="P14" s="281">
        <v>0.27</v>
      </c>
      <c r="Q14" s="279">
        <v>1.2598</v>
      </c>
      <c r="R14" s="281">
        <v>32</v>
      </c>
      <c r="V14" t="str">
        <f t="shared" si="0"/>
        <v xml:space="preserve">Acre-Feet &lt;&lt;&lt;&gt;&gt;&gt; Cubic Feet </v>
      </c>
      <c r="W14" t="s">
        <v>1092</v>
      </c>
      <c r="X14" t="s">
        <v>1093</v>
      </c>
      <c r="Y14">
        <v>43560</v>
      </c>
    </row>
    <row r="15" spans="1:25">
      <c r="A15"/>
      <c r="B15" s="277">
        <v>1.0200000000000001E-2</v>
      </c>
      <c r="D15" s="278">
        <v>0.26</v>
      </c>
      <c r="F15" s="279">
        <v>0.182</v>
      </c>
      <c r="G15" s="280">
        <v>14</v>
      </c>
      <c r="I15" s="279">
        <v>0.30199999999999999</v>
      </c>
      <c r="J15" s="280" t="s">
        <v>206</v>
      </c>
      <c r="L15" s="280" t="s">
        <v>938</v>
      </c>
      <c r="M15" s="279">
        <v>0.21879999999999999</v>
      </c>
      <c r="O15" s="279">
        <v>1.0999999999999999E-2</v>
      </c>
      <c r="P15" s="281">
        <v>0.28000000000000003</v>
      </c>
      <c r="Q15" s="279">
        <v>1.2402</v>
      </c>
      <c r="R15" s="281">
        <v>31.5</v>
      </c>
      <c r="S15" s="274" t="s">
        <v>1088</v>
      </c>
      <c r="T15" s="274"/>
      <c r="V15" t="str">
        <f t="shared" si="0"/>
        <v xml:space="preserve">Acres &lt;&lt;&lt;&gt;&gt;&gt; Hectare or Square hectometer </v>
      </c>
      <c r="W15" t="s">
        <v>1095</v>
      </c>
      <c r="X15" t="s">
        <v>1087</v>
      </c>
      <c r="Y15">
        <v>0.40468559999999998</v>
      </c>
    </row>
    <row r="16" spans="1:25">
      <c r="A16"/>
      <c r="B16" s="277">
        <v>1.0500000000000001E-2</v>
      </c>
      <c r="C16" s="168">
        <v>86</v>
      </c>
      <c r="D16" s="278"/>
      <c r="F16" s="279">
        <v>0.18</v>
      </c>
      <c r="G16" s="280">
        <v>15</v>
      </c>
      <c r="I16" s="279">
        <v>0.316</v>
      </c>
      <c r="J16" s="280" t="s">
        <v>216</v>
      </c>
      <c r="L16" s="280" t="s">
        <v>144</v>
      </c>
      <c r="M16" s="279">
        <v>0.2344</v>
      </c>
      <c r="O16" s="279">
        <v>1.14E-2</v>
      </c>
      <c r="P16" s="281">
        <v>0.28999999999999998</v>
      </c>
      <c r="Q16" s="279">
        <v>1.2204999999999999</v>
      </c>
      <c r="R16" s="281">
        <v>31</v>
      </c>
      <c r="S16" s="284">
        <v>1</v>
      </c>
      <c r="T16" t="s">
        <v>1066</v>
      </c>
      <c r="V16" t="str">
        <f t="shared" si="0"/>
        <v xml:space="preserve">Acres &lt;&lt;&lt;&gt;&gt;&gt; Square Chain (Gunter's) </v>
      </c>
      <c r="W16" t="s">
        <v>1095</v>
      </c>
      <c r="X16" t="s">
        <v>1089</v>
      </c>
      <c r="Y16">
        <v>10</v>
      </c>
    </row>
    <row r="17" spans="1:25">
      <c r="A17"/>
      <c r="B17" s="277">
        <v>1.06E-2</v>
      </c>
      <c r="D17" s="278">
        <v>0.27</v>
      </c>
      <c r="F17" s="279">
        <v>0.17699999999999999</v>
      </c>
      <c r="G17" s="280">
        <v>16</v>
      </c>
      <c r="I17" s="279">
        <v>0.32300000000000001</v>
      </c>
      <c r="J17" s="280" t="s">
        <v>221</v>
      </c>
      <c r="L17" s="280" t="s">
        <v>159</v>
      </c>
      <c r="M17" s="279">
        <v>0.25</v>
      </c>
      <c r="O17" s="279">
        <v>1.18E-2</v>
      </c>
      <c r="P17" s="281">
        <v>0.3</v>
      </c>
      <c r="Q17" s="279">
        <v>1.2008000000000001</v>
      </c>
      <c r="R17" s="281">
        <v>30.5</v>
      </c>
      <c r="S17">
        <f>INDEX(F2:F98,S16)</f>
        <v>0.22800000000000001</v>
      </c>
      <c r="T17" t="s">
        <v>139</v>
      </c>
      <c r="V17" t="str">
        <f t="shared" si="0"/>
        <v xml:space="preserve">Acres &lt;&lt;&lt;&gt;&gt;&gt; Square Feet </v>
      </c>
      <c r="W17" t="s">
        <v>1095</v>
      </c>
      <c r="X17" t="s">
        <v>1096</v>
      </c>
      <c r="Y17">
        <v>43560</v>
      </c>
    </row>
    <row r="18" spans="1:25">
      <c r="A18"/>
      <c r="B18" s="277">
        <v>1.0999999999999999E-2</v>
      </c>
      <c r="C18" s="168">
        <v>85</v>
      </c>
      <c r="D18" s="278">
        <v>0.28000000000000003</v>
      </c>
      <c r="F18" s="279">
        <v>0.17300000000000001</v>
      </c>
      <c r="G18" s="280">
        <v>17</v>
      </c>
      <c r="I18" s="279">
        <v>0.33200000000000002</v>
      </c>
      <c r="J18" s="280" t="s">
        <v>920</v>
      </c>
      <c r="L18" s="280" t="s">
        <v>170</v>
      </c>
      <c r="M18" s="279">
        <v>0.2656</v>
      </c>
      <c r="O18" s="279">
        <v>1.26E-2</v>
      </c>
      <c r="P18" s="281">
        <v>0.32</v>
      </c>
      <c r="Q18" s="279">
        <v>1.1811</v>
      </c>
      <c r="R18" s="281">
        <v>30</v>
      </c>
      <c r="V18" t="str">
        <f t="shared" si="0"/>
        <v>Acres &lt;&lt;&lt;&gt;&gt;&gt; Square Feet (US Survey)</v>
      </c>
      <c r="W18" t="s">
        <v>1095</v>
      </c>
      <c r="X18" t="s">
        <v>645</v>
      </c>
      <c r="Y18">
        <v>43559.826000000001</v>
      </c>
    </row>
    <row r="19" spans="1:25">
      <c r="A19"/>
      <c r="B19" s="277">
        <v>1.14E-2</v>
      </c>
      <c r="D19" s="278">
        <v>0.28999999999999998</v>
      </c>
      <c r="F19" s="279">
        <v>0.16950000000000001</v>
      </c>
      <c r="G19" s="280">
        <v>18</v>
      </c>
      <c r="I19" s="279">
        <v>0.33900000000000002</v>
      </c>
      <c r="J19" s="280" t="s">
        <v>926</v>
      </c>
      <c r="L19" s="280" t="s">
        <v>188</v>
      </c>
      <c r="M19" s="279">
        <v>0.28120000000000001</v>
      </c>
      <c r="O19" s="279">
        <v>1.34E-2</v>
      </c>
      <c r="P19" s="281">
        <v>0.34</v>
      </c>
      <c r="Q19" s="279">
        <v>1.1614</v>
      </c>
      <c r="R19" s="281">
        <v>29.5</v>
      </c>
      <c r="S19" s="274" t="s">
        <v>1094</v>
      </c>
      <c r="T19" s="274"/>
      <c r="V19" t="str">
        <f t="shared" si="0"/>
        <v>Acres &lt;&lt;&lt;&gt;&gt;&gt; Square Kilometers</v>
      </c>
      <c r="W19" t="s">
        <v>1095</v>
      </c>
      <c r="X19" t="s">
        <v>646</v>
      </c>
      <c r="Y19">
        <v>4.0468600000000002E-3</v>
      </c>
    </row>
    <row r="20" spans="1:25">
      <c r="A20"/>
      <c r="B20" s="277">
        <v>1.15E-2</v>
      </c>
      <c r="C20" s="168">
        <v>84</v>
      </c>
      <c r="D20" s="278"/>
      <c r="F20" s="279">
        <v>0.16600000000000001</v>
      </c>
      <c r="G20" s="280">
        <v>19</v>
      </c>
      <c r="I20" s="279">
        <v>0.34800000000000003</v>
      </c>
      <c r="J20" s="280" t="s">
        <v>933</v>
      </c>
      <c r="L20" s="280" t="s">
        <v>202</v>
      </c>
      <c r="M20" s="279">
        <v>0.2969</v>
      </c>
      <c r="O20" s="279">
        <v>1.38E-2</v>
      </c>
      <c r="P20" s="281">
        <v>0.35</v>
      </c>
      <c r="Q20" s="279">
        <v>1.1416999999999999</v>
      </c>
      <c r="R20" s="281">
        <v>29</v>
      </c>
      <c r="S20" s="284">
        <v>1</v>
      </c>
      <c r="T20" t="s">
        <v>1066</v>
      </c>
      <c r="V20" t="str">
        <f t="shared" si="0"/>
        <v xml:space="preserve">Acres &lt;&lt;&lt;&gt;&gt;&gt; Square Links (Gunter's) </v>
      </c>
      <c r="W20" t="s">
        <v>1095</v>
      </c>
      <c r="X20" t="s">
        <v>1090</v>
      </c>
      <c r="Y20">
        <v>100000</v>
      </c>
    </row>
    <row r="21" spans="1:25">
      <c r="A21"/>
      <c r="B21" s="277">
        <v>1.18E-2</v>
      </c>
      <c r="D21" s="278">
        <v>0.3</v>
      </c>
      <c r="F21" s="279">
        <v>0.161</v>
      </c>
      <c r="G21" s="280">
        <v>20</v>
      </c>
      <c r="I21" s="279">
        <v>0.35799999999999998</v>
      </c>
      <c r="J21" s="280" t="s">
        <v>939</v>
      </c>
      <c r="L21" s="280" t="s">
        <v>212</v>
      </c>
      <c r="M21" s="279">
        <v>0.3125</v>
      </c>
      <c r="O21" s="279">
        <v>1.4200000000000001E-2</v>
      </c>
      <c r="P21" s="281">
        <v>0.36</v>
      </c>
      <c r="Q21" s="279">
        <v>1.1220000000000001</v>
      </c>
      <c r="R21" s="281">
        <v>28.5</v>
      </c>
      <c r="S21">
        <f>INDEX(O2:O215,S20)</f>
        <v>5.8999999999999999E-3</v>
      </c>
      <c r="T21" t="s">
        <v>139</v>
      </c>
      <c r="V21" t="str">
        <f t="shared" si="0"/>
        <v xml:space="preserve">Acres &lt;&lt;&lt;&gt;&gt;&gt; Square Rods </v>
      </c>
      <c r="W21" t="s">
        <v>1095</v>
      </c>
      <c r="X21" t="s">
        <v>1091</v>
      </c>
      <c r="Y21">
        <v>160</v>
      </c>
    </row>
    <row r="22" spans="1:25">
      <c r="A22"/>
      <c r="B22" s="277">
        <v>1.2E-2</v>
      </c>
      <c r="C22" s="168">
        <v>83</v>
      </c>
      <c r="D22" s="278"/>
      <c r="F22" s="279">
        <v>0.159</v>
      </c>
      <c r="G22" s="280">
        <v>21</v>
      </c>
      <c r="I22" s="279">
        <v>0.36799999999999999</v>
      </c>
      <c r="J22" s="280" t="s">
        <v>948</v>
      </c>
      <c r="L22" s="280" t="s">
        <v>226</v>
      </c>
      <c r="M22" s="279">
        <v>0.3281</v>
      </c>
      <c r="O22" s="279">
        <v>1.4999999999999999E-2</v>
      </c>
      <c r="P22" s="281">
        <v>0.38</v>
      </c>
      <c r="Q22" s="279">
        <v>1.1024</v>
      </c>
      <c r="R22" s="281">
        <v>28</v>
      </c>
      <c r="V22" t="str">
        <f t="shared" si="0"/>
        <v xml:space="preserve">Acres  &lt;&lt;&lt;&gt;&gt;&gt; Square Meters </v>
      </c>
      <c r="W22" t="s">
        <v>1097</v>
      </c>
      <c r="X22" t="s">
        <v>1098</v>
      </c>
      <c r="Y22">
        <v>4046.856421</v>
      </c>
    </row>
    <row r="23" spans="1:25">
      <c r="A23"/>
      <c r="B23" s="277">
        <v>1.2500000000000001E-2</v>
      </c>
      <c r="C23" s="168">
        <v>82</v>
      </c>
      <c r="D23" s="278"/>
      <c r="F23" s="279">
        <v>0.157</v>
      </c>
      <c r="G23" s="280">
        <v>22</v>
      </c>
      <c r="I23" s="279">
        <v>0.377</v>
      </c>
      <c r="J23" s="280" t="s">
        <v>148</v>
      </c>
      <c r="L23" s="280" t="s">
        <v>929</v>
      </c>
      <c r="M23" s="279">
        <v>0.34379999999999999</v>
      </c>
      <c r="O23" s="279">
        <v>1.5699999999999999E-2</v>
      </c>
      <c r="P23" s="281">
        <v>0.4</v>
      </c>
      <c r="Q23" s="279">
        <v>1.0827</v>
      </c>
      <c r="R23" s="281">
        <v>27.5</v>
      </c>
      <c r="V23" t="str">
        <f t="shared" si="0"/>
        <v xml:space="preserve">Acres  &lt;&lt;&lt;&gt;&gt;&gt; Square Miles </v>
      </c>
      <c r="W23" t="s">
        <v>1097</v>
      </c>
      <c r="X23" t="s">
        <v>1099</v>
      </c>
      <c r="Y23">
        <v>1.562E-3</v>
      </c>
    </row>
    <row r="24" spans="1:25">
      <c r="A24"/>
      <c r="B24" s="277">
        <v>1.26E-2</v>
      </c>
      <c r="D24" s="278">
        <v>0.32</v>
      </c>
      <c r="F24" s="279">
        <v>0.154</v>
      </c>
      <c r="G24" s="280">
        <v>23</v>
      </c>
      <c r="I24" s="279">
        <v>0.38600000000000001</v>
      </c>
      <c r="J24" s="280" t="s">
        <v>155</v>
      </c>
      <c r="L24" s="280" t="s">
        <v>943</v>
      </c>
      <c r="M24" s="279">
        <v>0.3594</v>
      </c>
      <c r="O24" s="279">
        <v>1.6500000000000001E-2</v>
      </c>
      <c r="P24" s="281">
        <v>0.42</v>
      </c>
      <c r="Q24" s="279">
        <v>1.0629999999999999</v>
      </c>
      <c r="R24" s="281">
        <v>27</v>
      </c>
      <c r="S24" s="274" t="s">
        <v>1103</v>
      </c>
      <c r="T24" s="274"/>
      <c r="V24" t="str">
        <f t="shared" si="0"/>
        <v xml:space="preserve">Acres  &lt;&lt;&lt;&gt;&gt;&gt; Square Yards </v>
      </c>
      <c r="W24" t="s">
        <v>1097</v>
      </c>
      <c r="X24" t="s">
        <v>1100</v>
      </c>
      <c r="Y24">
        <v>4840</v>
      </c>
    </row>
    <row r="25" spans="1:25">
      <c r="A25"/>
      <c r="B25" s="277">
        <v>1.2999999999999999E-2</v>
      </c>
      <c r="C25" s="168">
        <v>81</v>
      </c>
      <c r="D25" s="278"/>
      <c r="F25" s="279">
        <v>0.152</v>
      </c>
      <c r="G25" s="280">
        <v>24</v>
      </c>
      <c r="I25" s="279">
        <v>0.39700000000000002</v>
      </c>
      <c r="J25" s="280" t="s">
        <v>120</v>
      </c>
      <c r="L25" s="280" t="s">
        <v>145</v>
      </c>
      <c r="M25" s="279">
        <v>0.375</v>
      </c>
      <c r="O25" s="279">
        <v>1.7299999999999999E-2</v>
      </c>
      <c r="P25" s="281">
        <v>0.44</v>
      </c>
      <c r="Q25" s="279">
        <v>1.0432999999999999</v>
      </c>
      <c r="R25" s="281">
        <v>26.5</v>
      </c>
      <c r="S25">
        <v>1</v>
      </c>
      <c r="T25" t="s">
        <v>1066</v>
      </c>
      <c r="V25" t="str">
        <f t="shared" si="0"/>
        <v xml:space="preserve">Ampere-hours  &lt;&lt;&lt;&gt;&gt;&gt; Coulombs </v>
      </c>
      <c r="W25" t="s">
        <v>1101</v>
      </c>
      <c r="X25" t="s">
        <v>1102</v>
      </c>
      <c r="Y25">
        <v>3600</v>
      </c>
    </row>
    <row r="26" spans="1:25">
      <c r="A26"/>
      <c r="B26" s="277">
        <v>1.34E-2</v>
      </c>
      <c r="D26" s="278">
        <v>0.34</v>
      </c>
      <c r="F26" s="279">
        <v>0.14949999999999999</v>
      </c>
      <c r="G26" s="280">
        <v>25</v>
      </c>
      <c r="I26" s="279">
        <v>0.40400000000000003</v>
      </c>
      <c r="J26" s="280" t="s">
        <v>101</v>
      </c>
      <c r="L26" s="280" t="s">
        <v>158</v>
      </c>
      <c r="M26" s="279">
        <v>0.3906</v>
      </c>
      <c r="O26" s="279">
        <v>1.77E-2</v>
      </c>
      <c r="P26" s="281">
        <v>0.45</v>
      </c>
      <c r="Q26" s="279">
        <v>1.0236000000000001</v>
      </c>
      <c r="R26" s="281">
        <v>26</v>
      </c>
      <c r="S26" s="283" t="str">
        <f>INDEX(W2:W896,S25)</f>
        <v>Abampere</v>
      </c>
      <c r="T26" t="s">
        <v>94</v>
      </c>
      <c r="V26" t="str">
        <f t="shared" si="0"/>
        <v xml:space="preserve">Ampere-hours  &lt;&lt;&lt;&gt;&gt;&gt; Faradays </v>
      </c>
      <c r="W26" t="s">
        <v>1101</v>
      </c>
      <c r="X26" t="s">
        <v>1104</v>
      </c>
      <c r="Y26">
        <v>3.7310000000000003E-2</v>
      </c>
    </row>
    <row r="27" spans="1:25">
      <c r="A27"/>
      <c r="B27" s="277">
        <v>1.35E-2</v>
      </c>
      <c r="C27" s="168">
        <v>80</v>
      </c>
      <c r="D27" s="278"/>
      <c r="F27" s="279">
        <v>0.14699999999999999</v>
      </c>
      <c r="G27" s="280">
        <v>26</v>
      </c>
      <c r="I27" s="279">
        <v>0.41300000000000003</v>
      </c>
      <c r="J27" s="280" t="s">
        <v>102</v>
      </c>
      <c r="L27" s="280" t="s">
        <v>165</v>
      </c>
      <c r="M27" s="279">
        <v>0.40620000000000001</v>
      </c>
      <c r="O27" s="279">
        <v>1.8100000000000002E-2</v>
      </c>
      <c r="P27" s="281">
        <v>0.46</v>
      </c>
      <c r="Q27" s="279">
        <v>1.0039</v>
      </c>
      <c r="R27" s="281">
        <v>25.5</v>
      </c>
      <c r="S27" s="283" t="str">
        <f>INDEX(X2:X896,S25)</f>
        <v>Ampere</v>
      </c>
      <c r="T27" t="s">
        <v>95</v>
      </c>
      <c r="V27" t="str">
        <f t="shared" si="0"/>
        <v xml:space="preserve">Ampere-turns  &lt;&lt;&lt;&gt;&gt;&gt; Gilberts </v>
      </c>
      <c r="W27" t="s">
        <v>1105</v>
      </c>
      <c r="X27" t="s">
        <v>1106</v>
      </c>
      <c r="Y27">
        <v>1.2569999999999999</v>
      </c>
    </row>
    <row r="28" spans="1:25">
      <c r="A28"/>
      <c r="B28" s="277">
        <v>1.38E-2</v>
      </c>
      <c r="D28" s="278">
        <v>0.35</v>
      </c>
      <c r="F28" s="279">
        <v>0.14400000000000002</v>
      </c>
      <c r="G28" s="280">
        <v>27</v>
      </c>
      <c r="L28" s="280" t="s">
        <v>169</v>
      </c>
      <c r="M28" s="279">
        <v>0.4219</v>
      </c>
      <c r="O28" s="279">
        <v>1.89E-2</v>
      </c>
      <c r="P28" s="281">
        <v>0.48</v>
      </c>
      <c r="Q28" s="279">
        <v>0.98429999999999995</v>
      </c>
      <c r="R28" s="281">
        <v>25</v>
      </c>
      <c r="S28">
        <f>INDEX(Y2:Y896,S25)</f>
        <v>10</v>
      </c>
      <c r="T28" t="s">
        <v>1065</v>
      </c>
      <c r="V28" t="str">
        <f t="shared" si="0"/>
        <v xml:space="preserve">Atmospheres  &lt;&lt;&lt;&gt;&gt;&gt; Cms of Mercury </v>
      </c>
      <c r="W28" t="s">
        <v>1107</v>
      </c>
      <c r="X28" t="s">
        <v>1108</v>
      </c>
      <c r="Y28">
        <v>76</v>
      </c>
    </row>
    <row r="29" spans="1:25">
      <c r="A29"/>
      <c r="B29" s="277">
        <v>1.4200000000000001E-2</v>
      </c>
      <c r="D29" s="278">
        <v>0.36</v>
      </c>
      <c r="F29" s="279">
        <v>0.14050000000000001</v>
      </c>
      <c r="G29" s="280">
        <v>28</v>
      </c>
      <c r="L29" s="280" t="s">
        <v>172</v>
      </c>
      <c r="M29" s="279">
        <v>0.4375</v>
      </c>
      <c r="O29" s="279">
        <v>1.9699999999999999E-2</v>
      </c>
      <c r="P29" s="281">
        <v>0.5</v>
      </c>
      <c r="Q29" s="279">
        <v>0.96460000000000001</v>
      </c>
      <c r="R29" s="281">
        <v>24.5</v>
      </c>
      <c r="S29" t="str">
        <f>IF(Convert!B6="","",Convert!B6*Data!S28)</f>
        <v/>
      </c>
      <c r="T29" t="s">
        <v>1111</v>
      </c>
      <c r="V29" t="str">
        <f t="shared" si="0"/>
        <v>Atmospheres  &lt;&lt;&lt;&gt;&gt;&gt; Ft. of water (at 4 degrees C)</v>
      </c>
      <c r="W29" t="s">
        <v>1107</v>
      </c>
      <c r="X29" t="s">
        <v>1109</v>
      </c>
      <c r="Y29">
        <v>33.9</v>
      </c>
    </row>
    <row r="30" spans="1:25">
      <c r="A30"/>
      <c r="B30" s="277">
        <v>1.4500000000000001E-2</v>
      </c>
      <c r="C30" s="168">
        <v>79</v>
      </c>
      <c r="D30" s="278"/>
      <c r="F30" s="279">
        <v>0.13600000000000001</v>
      </c>
      <c r="G30" s="280">
        <v>29</v>
      </c>
      <c r="L30" s="280" t="s">
        <v>175</v>
      </c>
      <c r="M30" s="279">
        <v>0.4531</v>
      </c>
      <c r="O30" s="279">
        <v>2.1700000000000001E-2</v>
      </c>
      <c r="P30" s="281">
        <v>0.55000000000000004</v>
      </c>
      <c r="Q30" s="279">
        <v>0.94489999999999996</v>
      </c>
      <c r="R30" s="281">
        <v>24</v>
      </c>
      <c r="S30">
        <f>COUNTA(Y2:Y2001)</f>
        <v>881</v>
      </c>
      <c r="T30" t="s">
        <v>1113</v>
      </c>
      <c r="V30" t="str">
        <f t="shared" si="0"/>
        <v>Atmospheres  &lt;&lt;&lt;&gt;&gt;&gt; In. of Mercury (at 0 degrees C)</v>
      </c>
      <c r="W30" t="s">
        <v>1107</v>
      </c>
      <c r="X30" t="s">
        <v>1110</v>
      </c>
      <c r="Y30">
        <v>29.92</v>
      </c>
    </row>
    <row r="31" spans="1:25">
      <c r="A31"/>
      <c r="B31" s="277">
        <v>1.4999999999999999E-2</v>
      </c>
      <c r="D31" s="278">
        <v>0.38</v>
      </c>
      <c r="F31" s="279">
        <v>0.1285</v>
      </c>
      <c r="G31" s="280">
        <v>30</v>
      </c>
      <c r="L31" s="280" t="s">
        <v>178</v>
      </c>
      <c r="M31" s="279">
        <v>0.46879999999999999</v>
      </c>
      <c r="O31" s="279">
        <v>2.3599999999999999E-2</v>
      </c>
      <c r="P31" s="281">
        <v>0.6</v>
      </c>
      <c r="Q31" s="279">
        <v>0.92520000000000002</v>
      </c>
      <c r="R31" s="281">
        <v>23.5</v>
      </c>
      <c r="V31" t="str">
        <f t="shared" si="0"/>
        <v xml:space="preserve">Atmospheres  &lt;&lt;&lt;&gt;&gt;&gt; Kgs/sq. cm </v>
      </c>
      <c r="W31" t="s">
        <v>1107</v>
      </c>
      <c r="X31" t="s">
        <v>1112</v>
      </c>
      <c r="Y31">
        <v>1.0333000000000001</v>
      </c>
    </row>
    <row r="32" spans="1:25">
      <c r="A32" s="286" t="s">
        <v>953</v>
      </c>
      <c r="B32" s="277">
        <v>1.5599999999999999E-2</v>
      </c>
      <c r="D32" s="278"/>
      <c r="F32" s="279">
        <v>0.12</v>
      </c>
      <c r="G32" s="280">
        <v>31</v>
      </c>
      <c r="L32" s="280" t="s">
        <v>182</v>
      </c>
      <c r="M32" s="279">
        <v>0.4844</v>
      </c>
      <c r="O32" s="279">
        <v>2.5600000000000001E-2</v>
      </c>
      <c r="P32" s="281">
        <v>0.65</v>
      </c>
      <c r="Q32" s="279">
        <v>0.90549999999999997</v>
      </c>
      <c r="R32" s="281">
        <v>23</v>
      </c>
      <c r="V32" t="str">
        <f t="shared" si="0"/>
        <v xml:space="preserve">Atmospheres  &lt;&lt;&lt;&gt;&gt;&gt; Kgs/sq. meter </v>
      </c>
      <c r="W32" t="s">
        <v>1107</v>
      </c>
      <c r="X32" t="s">
        <v>1114</v>
      </c>
      <c r="Y32">
        <v>10332</v>
      </c>
    </row>
    <row r="33" spans="1:25">
      <c r="A33"/>
      <c r="B33" s="277">
        <v>1.5699999999999999E-2</v>
      </c>
      <c r="D33" s="278">
        <v>0.4</v>
      </c>
      <c r="F33" s="279">
        <v>0.11600000000000001</v>
      </c>
      <c r="G33" s="280">
        <v>32</v>
      </c>
      <c r="L33" s="280" t="s">
        <v>185</v>
      </c>
      <c r="M33" s="279">
        <v>0.5</v>
      </c>
      <c r="O33" s="279">
        <v>2.76E-2</v>
      </c>
      <c r="P33" s="281">
        <v>0.7</v>
      </c>
      <c r="Q33" s="279">
        <v>0.88580000000000003</v>
      </c>
      <c r="R33" s="281">
        <v>22.5</v>
      </c>
      <c r="V33" t="str">
        <f t="shared" si="0"/>
        <v xml:space="preserve">Atmospheres  &lt;&lt;&lt;&gt;&gt;&gt; Pounds/sq. Inch </v>
      </c>
      <c r="W33" t="s">
        <v>1107</v>
      </c>
      <c r="X33" t="s">
        <v>1115</v>
      </c>
      <c r="Y33">
        <v>14.7</v>
      </c>
    </row>
    <row r="34" spans="1:25">
      <c r="A34"/>
      <c r="B34" s="277">
        <v>1.6E-2</v>
      </c>
      <c r="C34" s="168">
        <v>78</v>
      </c>
      <c r="D34" s="278"/>
      <c r="F34" s="279">
        <v>0.113</v>
      </c>
      <c r="G34" s="280">
        <v>33</v>
      </c>
      <c r="L34" s="280" t="s">
        <v>189</v>
      </c>
      <c r="M34" s="279">
        <v>0.51559999999999995</v>
      </c>
      <c r="O34" s="279">
        <v>2.9499999999999998E-2</v>
      </c>
      <c r="P34" s="281">
        <v>0.75</v>
      </c>
      <c r="Q34" s="279">
        <v>0.86609999999999998</v>
      </c>
      <c r="R34" s="281">
        <v>22</v>
      </c>
      <c r="V34" t="str">
        <f t="shared" si="0"/>
        <v xml:space="preserve">Atmospheres  &lt;&lt;&lt;&gt;&gt;&gt; Ton/sq. Inch </v>
      </c>
      <c r="W34" t="s">
        <v>1107</v>
      </c>
      <c r="X34" t="s">
        <v>1116</v>
      </c>
      <c r="Y34">
        <v>7.3480000000000004E-3</v>
      </c>
    </row>
    <row r="35" spans="1:25">
      <c r="A35"/>
      <c r="B35" s="277">
        <v>1.6500000000000001E-2</v>
      </c>
      <c r="D35" s="278">
        <v>0.42</v>
      </c>
      <c r="F35" s="279">
        <v>0.111</v>
      </c>
      <c r="G35" s="280">
        <v>34</v>
      </c>
      <c r="L35" s="280" t="s">
        <v>191</v>
      </c>
      <c r="M35" s="279">
        <v>0.53120000000000001</v>
      </c>
      <c r="O35" s="279">
        <v>3.15E-2</v>
      </c>
      <c r="P35" s="281">
        <v>0.8</v>
      </c>
      <c r="Q35" s="279">
        <v>0.84650000000000003</v>
      </c>
      <c r="R35" s="281">
        <v>21.5</v>
      </c>
      <c r="V35" t="str">
        <f t="shared" si="0"/>
        <v xml:space="preserve">Atmospheres  &lt;&lt;&lt;&gt;&gt;&gt; Tons/sq. Foot </v>
      </c>
      <c r="W35" t="s">
        <v>1107</v>
      </c>
      <c r="X35" t="s">
        <v>1117</v>
      </c>
      <c r="Y35">
        <v>1.0580000000000001</v>
      </c>
    </row>
    <row r="36" spans="1:25">
      <c r="A36"/>
      <c r="B36" s="277">
        <v>1.7299999999999999E-2</v>
      </c>
      <c r="D36" s="278">
        <v>0.44</v>
      </c>
      <c r="F36" s="279">
        <v>0.11</v>
      </c>
      <c r="G36" s="280">
        <v>35</v>
      </c>
      <c r="L36" s="280" t="s">
        <v>193</v>
      </c>
      <c r="M36" s="279">
        <v>0.54690000000000005</v>
      </c>
      <c r="O36" s="279">
        <v>3.3500000000000002E-2</v>
      </c>
      <c r="P36" s="281">
        <v>0.85</v>
      </c>
      <c r="Q36" s="279">
        <v>0.82679999999999998</v>
      </c>
      <c r="R36" s="281">
        <v>21</v>
      </c>
      <c r="V36" t="str">
        <f t="shared" si="0"/>
        <v xml:space="preserve">Barrels (oil)  &lt;&lt;&lt;&gt;&gt;&gt; Gallons (oil) </v>
      </c>
      <c r="W36" t="s">
        <v>1118</v>
      </c>
      <c r="X36" t="s">
        <v>1119</v>
      </c>
      <c r="Y36">
        <v>42</v>
      </c>
    </row>
    <row r="37" spans="1:25">
      <c r="A37"/>
      <c r="B37" s="277">
        <v>1.77E-2</v>
      </c>
      <c r="D37" s="278">
        <v>0.45</v>
      </c>
      <c r="F37" s="279">
        <v>0.1065</v>
      </c>
      <c r="G37" s="280">
        <v>36</v>
      </c>
      <c r="L37" s="280" t="s">
        <v>196</v>
      </c>
      <c r="M37" s="279">
        <v>0.5625</v>
      </c>
      <c r="O37" s="279">
        <v>3.5400000000000001E-2</v>
      </c>
      <c r="P37" s="281">
        <v>0.9</v>
      </c>
      <c r="Q37" s="279">
        <v>0.80710000000000004</v>
      </c>
      <c r="R37" s="281">
        <v>20.5</v>
      </c>
      <c r="V37" t="str">
        <f t="shared" si="0"/>
        <v xml:space="preserve">Barrels (US dry)  &lt;&lt;&lt;&gt;&gt;&gt; Cubic. Inches </v>
      </c>
      <c r="W37" t="s">
        <v>1120</v>
      </c>
      <c r="X37" t="s">
        <v>1121</v>
      </c>
      <c r="Y37">
        <v>7056</v>
      </c>
    </row>
    <row r="38" spans="1:25">
      <c r="A38"/>
      <c r="B38" s="277">
        <v>1.7999999999999999E-2</v>
      </c>
      <c r="C38" s="168">
        <v>77</v>
      </c>
      <c r="D38" s="278"/>
      <c r="F38" s="279">
        <v>0.10400000000000001</v>
      </c>
      <c r="G38" s="280">
        <v>37</v>
      </c>
      <c r="L38" s="280" t="s">
        <v>200</v>
      </c>
      <c r="M38" s="279">
        <v>0.57809999999999995</v>
      </c>
      <c r="O38" s="279">
        <v>3.7400000000000003E-2</v>
      </c>
      <c r="P38" s="281">
        <v>0.95</v>
      </c>
      <c r="Q38" s="279">
        <v>0.78739999999999999</v>
      </c>
      <c r="R38" s="281">
        <v>20</v>
      </c>
      <c r="V38" t="str">
        <f t="shared" si="0"/>
        <v xml:space="preserve">Barrels (US dry)  &lt;&lt;&lt;&gt;&gt;&gt; Quarts (dry) </v>
      </c>
      <c r="W38" t="s">
        <v>1120</v>
      </c>
      <c r="X38" t="s">
        <v>1122</v>
      </c>
      <c r="Y38">
        <v>105</v>
      </c>
    </row>
    <row r="39" spans="1:25">
      <c r="A39"/>
      <c r="B39" s="277">
        <v>1.8100000000000002E-2</v>
      </c>
      <c r="D39" s="278">
        <v>0.46</v>
      </c>
      <c r="F39" s="279">
        <v>0.10150000000000001</v>
      </c>
      <c r="G39" s="280">
        <v>38</v>
      </c>
      <c r="L39" s="280" t="s">
        <v>204</v>
      </c>
      <c r="M39" s="279">
        <v>0.59379999999999999</v>
      </c>
      <c r="O39" s="279">
        <v>3.9399999999999998E-2</v>
      </c>
      <c r="P39" s="281">
        <v>1</v>
      </c>
      <c r="Q39" s="279">
        <v>0.76770000000000005</v>
      </c>
      <c r="R39" s="281">
        <v>19.5</v>
      </c>
      <c r="V39" t="str">
        <f t="shared" si="0"/>
        <v xml:space="preserve">Barrels (US, liquid)  &lt;&lt;&lt;&gt;&gt;&gt; Barrels (US, dry) </v>
      </c>
      <c r="W39" t="s">
        <v>1123</v>
      </c>
      <c r="X39" t="s">
        <v>1124</v>
      </c>
      <c r="Y39">
        <v>1.03125</v>
      </c>
    </row>
    <row r="40" spans="1:25">
      <c r="A40"/>
      <c r="B40" s="277">
        <v>1.89E-2</v>
      </c>
      <c r="D40" s="278">
        <v>0.48</v>
      </c>
      <c r="F40" s="279">
        <v>9.9500000000000005E-2</v>
      </c>
      <c r="G40" s="280">
        <v>39</v>
      </c>
      <c r="L40" s="280" t="s">
        <v>207</v>
      </c>
      <c r="M40" s="279">
        <v>0.60940000000000005</v>
      </c>
      <c r="O40" s="279">
        <v>4.1300000000000003E-2</v>
      </c>
      <c r="P40" s="281">
        <v>1.05</v>
      </c>
      <c r="Q40" s="279">
        <v>0.748</v>
      </c>
      <c r="R40" s="281">
        <v>19</v>
      </c>
      <c r="V40" t="str">
        <f t="shared" si="0"/>
        <v xml:space="preserve">Barrels (US, liquid)  &lt;&lt;&lt;&gt;&gt;&gt; Gallons </v>
      </c>
      <c r="W40" t="s">
        <v>1123</v>
      </c>
      <c r="X40" t="s">
        <v>1125</v>
      </c>
      <c r="Y40">
        <v>31.5</v>
      </c>
    </row>
    <row r="41" spans="1:25">
      <c r="A41"/>
      <c r="B41" s="277">
        <v>1.9699999999999999E-2</v>
      </c>
      <c r="D41" s="278">
        <v>0.5</v>
      </c>
      <c r="F41" s="279">
        <v>9.8000000000000004E-2</v>
      </c>
      <c r="G41" s="280">
        <v>40</v>
      </c>
      <c r="L41" s="280" t="s">
        <v>209</v>
      </c>
      <c r="M41" s="279">
        <v>0.625</v>
      </c>
      <c r="O41" s="279">
        <v>4.3300000000000005E-2</v>
      </c>
      <c r="P41" s="281">
        <v>1.1000000000000001</v>
      </c>
      <c r="Q41" s="279">
        <v>0.72829999999999995</v>
      </c>
      <c r="R41" s="281">
        <v>18.5</v>
      </c>
      <c r="V41" t="str">
        <f t="shared" si="0"/>
        <v xml:space="preserve">Bars &lt;&lt;&lt;&gt;&gt;&gt; Pounds/sq. Inch </v>
      </c>
      <c r="W41" t="s">
        <v>1126</v>
      </c>
      <c r="X41" t="s">
        <v>1115</v>
      </c>
      <c r="Y41">
        <v>14.5</v>
      </c>
    </row>
    <row r="42" spans="1:25">
      <c r="A42"/>
      <c r="B42" s="277">
        <v>0.02</v>
      </c>
      <c r="C42" s="168">
        <v>76</v>
      </c>
      <c r="D42" s="278"/>
      <c r="F42" s="279">
        <v>9.6000000000000002E-2</v>
      </c>
      <c r="G42" s="280">
        <v>41</v>
      </c>
      <c r="L42" s="280" t="s">
        <v>211</v>
      </c>
      <c r="M42" s="279">
        <v>0.64059999999999995</v>
      </c>
      <c r="O42" s="279">
        <v>4.53E-2</v>
      </c>
      <c r="P42" s="281">
        <v>1.1499999999999999</v>
      </c>
      <c r="Q42" s="279">
        <v>0.7087</v>
      </c>
      <c r="R42" s="281">
        <v>18</v>
      </c>
      <c r="V42" t="str">
        <f t="shared" si="0"/>
        <v xml:space="preserve">Bars  &lt;&lt;&lt;&gt;&gt;&gt; Atmospheres </v>
      </c>
      <c r="W42" t="s">
        <v>1127</v>
      </c>
      <c r="X42" t="s">
        <v>1107</v>
      </c>
      <c r="Y42">
        <v>0.9869</v>
      </c>
    </row>
    <row r="43" spans="1:25">
      <c r="A43"/>
      <c r="B43" s="277">
        <v>2.1000000000000001E-2</v>
      </c>
      <c r="C43" s="168">
        <v>75</v>
      </c>
      <c r="D43" s="278"/>
      <c r="F43" s="279">
        <v>9.35E-2</v>
      </c>
      <c r="G43" s="280">
        <v>42</v>
      </c>
      <c r="L43" s="280" t="s">
        <v>215</v>
      </c>
      <c r="M43" s="279">
        <v>0.65620000000000001</v>
      </c>
      <c r="O43" s="279">
        <v>4.7199999999999999E-2</v>
      </c>
      <c r="P43" s="281">
        <v>1.2</v>
      </c>
      <c r="Q43" s="279">
        <v>0.68900000000000006</v>
      </c>
      <c r="R43" s="281">
        <v>17.5</v>
      </c>
      <c r="V43" t="str">
        <f t="shared" si="0"/>
        <v xml:space="preserve">Bars  &lt;&lt;&lt;&gt;&gt;&gt; Dynes/sq. cm </v>
      </c>
      <c r="W43" t="s">
        <v>1127</v>
      </c>
      <c r="X43" t="s">
        <v>1128</v>
      </c>
      <c r="Y43">
        <v>1000000</v>
      </c>
    </row>
    <row r="44" spans="1:25">
      <c r="A44"/>
      <c r="B44" s="277">
        <v>2.1700000000000001E-2</v>
      </c>
      <c r="D44" s="278">
        <v>0.55000000000000004</v>
      </c>
      <c r="F44" s="279">
        <v>8.8999999999999996E-2</v>
      </c>
      <c r="G44" s="280">
        <v>43</v>
      </c>
      <c r="L44" s="280" t="s">
        <v>218</v>
      </c>
      <c r="M44" s="279">
        <v>0.67190000000000005</v>
      </c>
      <c r="O44" s="279">
        <v>4.9200000000000001E-2</v>
      </c>
      <c r="P44" s="281">
        <v>1.25</v>
      </c>
      <c r="Q44" s="279">
        <v>0.66930000000000001</v>
      </c>
      <c r="R44" s="281">
        <v>17</v>
      </c>
      <c r="V44" t="str">
        <f t="shared" si="0"/>
        <v xml:space="preserve">Bars  &lt;&lt;&lt;&gt;&gt;&gt; Kgs/sq. meter </v>
      </c>
      <c r="W44" t="s">
        <v>1127</v>
      </c>
      <c r="X44" t="s">
        <v>1114</v>
      </c>
      <c r="Y44">
        <v>10200</v>
      </c>
    </row>
    <row r="45" spans="1:25">
      <c r="A45"/>
      <c r="B45" s="277">
        <v>2.2499999999999999E-2</v>
      </c>
      <c r="C45" s="168">
        <v>74</v>
      </c>
      <c r="D45" s="278"/>
      <c r="F45" s="279">
        <v>8.6000000000000007E-2</v>
      </c>
      <c r="G45" s="280">
        <v>44</v>
      </c>
      <c r="L45" s="280" t="s">
        <v>220</v>
      </c>
      <c r="M45" s="279">
        <v>0.6875</v>
      </c>
      <c r="O45" s="279">
        <v>5.1200000000000002E-2</v>
      </c>
      <c r="P45" s="281">
        <v>1.3</v>
      </c>
      <c r="Q45" s="279">
        <v>0.64959999999999996</v>
      </c>
      <c r="R45" s="281">
        <v>16.5</v>
      </c>
      <c r="V45" t="str">
        <f t="shared" si="0"/>
        <v xml:space="preserve">Bars  &lt;&lt;&lt;&gt;&gt;&gt; Pounds/sq. Foot </v>
      </c>
      <c r="W45" t="s">
        <v>1127</v>
      </c>
      <c r="X45" t="s">
        <v>1129</v>
      </c>
      <c r="Y45">
        <v>2089</v>
      </c>
    </row>
    <row r="46" spans="1:25">
      <c r="A46"/>
      <c r="B46" s="277">
        <v>2.3599999999999999E-2</v>
      </c>
      <c r="D46" s="278">
        <v>0.6</v>
      </c>
      <c r="F46" s="279">
        <v>8.2000000000000003E-2</v>
      </c>
      <c r="G46" s="280">
        <v>45</v>
      </c>
      <c r="L46" s="280" t="s">
        <v>223</v>
      </c>
      <c r="M46" s="279">
        <v>0.70309999999999995</v>
      </c>
      <c r="O46" s="279">
        <v>5.3100000000000001E-2</v>
      </c>
      <c r="P46" s="281">
        <v>1.35</v>
      </c>
      <c r="Q46" s="279">
        <v>0.62990000000000002</v>
      </c>
      <c r="R46" s="281">
        <v>16</v>
      </c>
      <c r="V46" t="str">
        <f t="shared" si="0"/>
        <v>Bolt of cloth &lt;&lt;&lt;&gt;&gt;&gt; Ells</v>
      </c>
      <c r="W46" t="s">
        <v>1130</v>
      </c>
      <c r="X46" t="s">
        <v>1131</v>
      </c>
      <c r="Y46">
        <v>32</v>
      </c>
    </row>
    <row r="47" spans="1:25">
      <c r="A47"/>
      <c r="B47" s="277">
        <v>2.4E-2</v>
      </c>
      <c r="C47" s="168">
        <v>73</v>
      </c>
      <c r="D47" s="278"/>
      <c r="F47" s="279">
        <v>8.1000000000000003E-2</v>
      </c>
      <c r="G47" s="280">
        <v>46</v>
      </c>
      <c r="L47" s="280" t="s">
        <v>918</v>
      </c>
      <c r="M47" s="279">
        <v>0.71879999999999999</v>
      </c>
      <c r="O47" s="279">
        <v>5.5100000000000003E-2</v>
      </c>
      <c r="P47" s="281">
        <v>1.4</v>
      </c>
      <c r="Q47" s="279">
        <v>0.61019999999999996</v>
      </c>
      <c r="R47" s="281">
        <v>15.5</v>
      </c>
      <c r="V47" t="str">
        <f t="shared" si="0"/>
        <v>Bolt of cloth &lt;&lt;&lt;&gt;&gt;&gt; Linear feet</v>
      </c>
      <c r="W47" t="s">
        <v>1130</v>
      </c>
      <c r="X47" t="s">
        <v>1132</v>
      </c>
      <c r="Y47">
        <v>120</v>
      </c>
    </row>
    <row r="48" spans="1:25">
      <c r="A48"/>
      <c r="B48" s="277">
        <v>2.5000000000000001E-2</v>
      </c>
      <c r="C48" s="168">
        <v>72</v>
      </c>
      <c r="D48" s="278"/>
      <c r="F48" s="279">
        <v>7.85E-2</v>
      </c>
      <c r="G48" s="280">
        <v>47</v>
      </c>
      <c r="L48" s="280" t="s">
        <v>921</v>
      </c>
      <c r="M48" s="279">
        <v>0.73440000000000005</v>
      </c>
      <c r="O48" s="279">
        <v>5.7100000000000005E-2</v>
      </c>
      <c r="P48" s="281">
        <v>1.45</v>
      </c>
      <c r="Q48" s="279">
        <v>0.59060000000000001</v>
      </c>
      <c r="R48" s="281">
        <v>15</v>
      </c>
      <c r="V48" t="str">
        <f t="shared" si="0"/>
        <v>Bolt of cloth &lt;&lt;&lt;&gt;&gt;&gt; Meters</v>
      </c>
      <c r="W48" t="s">
        <v>1130</v>
      </c>
      <c r="X48" t="s">
        <v>64</v>
      </c>
      <c r="Y48">
        <v>36.576000000000001</v>
      </c>
    </row>
    <row r="49" spans="1:25">
      <c r="A49"/>
      <c r="B49" s="277">
        <v>2.5600000000000001E-2</v>
      </c>
      <c r="D49" s="278">
        <v>0.65</v>
      </c>
      <c r="F49" s="279">
        <v>7.5999999999999998E-2</v>
      </c>
      <c r="G49" s="280">
        <v>48</v>
      </c>
      <c r="L49" s="280" t="s">
        <v>924</v>
      </c>
      <c r="M49" s="279">
        <v>0.75</v>
      </c>
      <c r="O49" s="279">
        <v>5.91E-2</v>
      </c>
      <c r="P49" s="281">
        <v>1.5</v>
      </c>
      <c r="Q49" s="279">
        <v>0.57089999999999996</v>
      </c>
      <c r="R49" s="281">
        <v>14.5</v>
      </c>
      <c r="V49" t="str">
        <f t="shared" si="0"/>
        <v xml:space="preserve">BTU  &lt;&lt;&lt;&gt;&gt;&gt; Ergs </v>
      </c>
      <c r="W49" t="s">
        <v>1133</v>
      </c>
      <c r="X49" t="s">
        <v>1134</v>
      </c>
      <c r="Y49">
        <v>10600000000</v>
      </c>
    </row>
    <row r="50" spans="1:25">
      <c r="A50"/>
      <c r="B50" s="277">
        <v>2.5999999999999999E-2</v>
      </c>
      <c r="C50" s="168">
        <v>71</v>
      </c>
      <c r="D50" s="278"/>
      <c r="F50" s="279">
        <v>7.2999999999999995E-2</v>
      </c>
      <c r="G50" s="280">
        <v>49</v>
      </c>
      <c r="L50" s="280" t="s">
        <v>927</v>
      </c>
      <c r="M50" s="279">
        <v>0.76559999999999995</v>
      </c>
      <c r="O50" s="279">
        <v>6.1000000000000006E-2</v>
      </c>
      <c r="P50" s="281">
        <v>1.55</v>
      </c>
      <c r="Q50" s="279">
        <v>0.55120000000000002</v>
      </c>
      <c r="R50" s="281">
        <v>14</v>
      </c>
      <c r="V50" t="str">
        <f t="shared" si="0"/>
        <v xml:space="preserve">BTU  &lt;&lt;&lt;&gt;&gt;&gt; Foot-lbs </v>
      </c>
      <c r="W50" t="s">
        <v>1133</v>
      </c>
      <c r="X50" t="s">
        <v>1135</v>
      </c>
      <c r="Y50">
        <v>778.3</v>
      </c>
    </row>
    <row r="51" spans="1:25">
      <c r="A51"/>
      <c r="B51" s="277">
        <v>2.76E-2</v>
      </c>
      <c r="D51" s="278">
        <v>0.7</v>
      </c>
      <c r="F51" s="279">
        <v>7.0000000000000007E-2</v>
      </c>
      <c r="G51" s="280">
        <v>50</v>
      </c>
      <c r="L51" s="280" t="s">
        <v>930</v>
      </c>
      <c r="M51" s="279">
        <v>0.78120000000000001</v>
      </c>
      <c r="O51" s="279">
        <v>6.3E-2</v>
      </c>
      <c r="P51" s="281">
        <v>1.6</v>
      </c>
      <c r="Q51" s="279">
        <v>0.53149999999999997</v>
      </c>
      <c r="R51" s="281">
        <v>13.5</v>
      </c>
      <c r="V51" t="str">
        <f t="shared" si="0"/>
        <v xml:space="preserve">BTU  &lt;&lt;&lt;&gt;&gt;&gt; Gram-Calories </v>
      </c>
      <c r="W51" t="s">
        <v>1133</v>
      </c>
      <c r="X51" t="s">
        <v>1136</v>
      </c>
      <c r="Y51">
        <v>252</v>
      </c>
    </row>
    <row r="52" spans="1:25">
      <c r="A52"/>
      <c r="B52" s="277">
        <v>2.8000000000000001E-2</v>
      </c>
      <c r="C52" s="168">
        <v>70</v>
      </c>
      <c r="D52" s="278"/>
      <c r="F52" s="279">
        <v>6.7000000000000004E-2</v>
      </c>
      <c r="G52" s="280">
        <v>51</v>
      </c>
      <c r="L52" s="280" t="s">
        <v>932</v>
      </c>
      <c r="M52" s="279">
        <v>0.79690000000000005</v>
      </c>
      <c r="O52" s="279">
        <v>6.5000000000000002E-2</v>
      </c>
      <c r="P52" s="281">
        <v>1.65</v>
      </c>
      <c r="Q52" s="279">
        <v>0.51180000000000003</v>
      </c>
      <c r="R52" s="281">
        <v>13</v>
      </c>
      <c r="V52" t="str">
        <f t="shared" si="0"/>
        <v xml:space="preserve">BTU  &lt;&lt;&lt;&gt;&gt;&gt; HorsePower-Hours </v>
      </c>
      <c r="W52" t="s">
        <v>1133</v>
      </c>
      <c r="X52" t="s">
        <v>1137</v>
      </c>
      <c r="Y52">
        <v>3.9310000000000001E-4</v>
      </c>
    </row>
    <row r="53" spans="1:25">
      <c r="A53"/>
      <c r="B53" s="277">
        <v>2.92E-2</v>
      </c>
      <c r="C53" s="168">
        <v>69</v>
      </c>
      <c r="D53" s="278"/>
      <c r="F53" s="279">
        <v>6.3500000000000001E-2</v>
      </c>
      <c r="G53" s="280">
        <v>52</v>
      </c>
      <c r="L53" s="280" t="s">
        <v>935</v>
      </c>
      <c r="M53" s="279">
        <v>0.8125</v>
      </c>
      <c r="O53" s="279">
        <v>6.6900000000000001E-2</v>
      </c>
      <c r="P53" s="281">
        <v>1.7</v>
      </c>
      <c r="Q53" s="279">
        <v>0.49209999999999998</v>
      </c>
      <c r="R53" s="281">
        <v>12.5</v>
      </c>
      <c r="V53" t="str">
        <f t="shared" si="0"/>
        <v xml:space="preserve">BTU  &lt;&lt;&lt;&gt;&gt;&gt; Joules </v>
      </c>
      <c r="W53" t="s">
        <v>1133</v>
      </c>
      <c r="X53" t="s">
        <v>1138</v>
      </c>
      <c r="Y53">
        <v>1054.8</v>
      </c>
    </row>
    <row r="54" spans="1:25">
      <c r="A54"/>
      <c r="B54" s="277">
        <v>2.9499999999999998E-2</v>
      </c>
      <c r="D54" s="278">
        <v>0.75</v>
      </c>
      <c r="F54" s="279">
        <v>5.9500000000000004E-2</v>
      </c>
      <c r="G54" s="280">
        <v>53</v>
      </c>
      <c r="L54" s="280" t="s">
        <v>940</v>
      </c>
      <c r="M54" s="279">
        <v>0.82809999999999995</v>
      </c>
      <c r="O54" s="279">
        <v>6.8900000000000003E-2</v>
      </c>
      <c r="P54" s="281">
        <v>1.75</v>
      </c>
      <c r="Q54" s="279">
        <v>0.47239999999999999</v>
      </c>
      <c r="R54" s="281">
        <v>12</v>
      </c>
      <c r="V54" t="str">
        <f t="shared" si="0"/>
        <v xml:space="preserve">BTU  &lt;&lt;&lt;&gt;&gt;&gt; Kilogram-Calories </v>
      </c>
      <c r="W54" t="s">
        <v>1133</v>
      </c>
      <c r="X54" t="s">
        <v>1139</v>
      </c>
      <c r="Y54">
        <v>0.252</v>
      </c>
    </row>
    <row r="55" spans="1:25">
      <c r="A55"/>
      <c r="B55" s="277">
        <v>3.1E-2</v>
      </c>
      <c r="C55" s="168">
        <v>68</v>
      </c>
      <c r="D55" s="278"/>
      <c r="F55" s="279">
        <v>5.5E-2</v>
      </c>
      <c r="G55" s="280">
        <v>54</v>
      </c>
      <c r="L55" s="280" t="s">
        <v>942</v>
      </c>
      <c r="M55" s="279">
        <v>0.84379999999999999</v>
      </c>
      <c r="O55" s="279">
        <v>7.0900000000000005E-2</v>
      </c>
      <c r="P55" s="281">
        <v>1.8</v>
      </c>
      <c r="Q55" s="279">
        <v>0.45279999999999998</v>
      </c>
      <c r="R55" s="281">
        <v>11.5</v>
      </c>
      <c r="V55" t="str">
        <f t="shared" si="0"/>
        <v xml:space="preserve">BTU  &lt;&lt;&lt;&gt;&gt;&gt; Kilogram-meters </v>
      </c>
      <c r="W55" t="s">
        <v>1133</v>
      </c>
      <c r="X55" t="s">
        <v>1140</v>
      </c>
      <c r="Y55">
        <v>107.5</v>
      </c>
    </row>
    <row r="56" spans="1:25">
      <c r="A56" s="286" t="s">
        <v>954</v>
      </c>
      <c r="B56" s="277">
        <v>3.1199999999999999E-2</v>
      </c>
      <c r="D56" s="278"/>
      <c r="F56" s="279">
        <v>5.2000000000000005E-2</v>
      </c>
      <c r="G56" s="280">
        <v>55</v>
      </c>
      <c r="L56" s="280" t="s">
        <v>945</v>
      </c>
      <c r="M56" s="279">
        <v>0.85940000000000005</v>
      </c>
      <c r="O56" s="279">
        <v>7.2800000000000004E-2</v>
      </c>
      <c r="P56" s="281">
        <v>1.85</v>
      </c>
      <c r="Q56" s="279">
        <v>0.43309999999999998</v>
      </c>
      <c r="R56" s="281">
        <v>11</v>
      </c>
      <c r="V56" t="str">
        <f t="shared" si="0"/>
        <v xml:space="preserve">BTU  &lt;&lt;&lt;&gt;&gt;&gt; Kilowatt-Hours </v>
      </c>
      <c r="W56" t="s">
        <v>1133</v>
      </c>
      <c r="X56" t="s">
        <v>1141</v>
      </c>
      <c r="Y56">
        <v>2.9280000000000002E-4</v>
      </c>
    </row>
    <row r="57" spans="1:25">
      <c r="A57"/>
      <c r="B57" s="277">
        <v>3.15E-2</v>
      </c>
      <c r="D57" s="278">
        <v>0.8</v>
      </c>
      <c r="F57" s="279">
        <v>4.65E-2</v>
      </c>
      <c r="G57" s="280">
        <v>56</v>
      </c>
      <c r="L57" s="280" t="s">
        <v>947</v>
      </c>
      <c r="M57" s="279">
        <v>0.875</v>
      </c>
      <c r="O57" s="279">
        <v>7.4800000000000005E-2</v>
      </c>
      <c r="P57" s="281">
        <v>1.9</v>
      </c>
      <c r="Q57" s="279">
        <v>0.41339999999999999</v>
      </c>
      <c r="R57" s="281">
        <v>10.5</v>
      </c>
      <c r="V57" t="str">
        <f t="shared" si="0"/>
        <v xml:space="preserve">BTU/Hour  &lt;&lt;&lt;&gt;&gt;&gt; Foot-pounds/Second </v>
      </c>
      <c r="W57" t="s">
        <v>1142</v>
      </c>
      <c r="X57" t="s">
        <v>227</v>
      </c>
      <c r="Y57">
        <v>0.2162</v>
      </c>
    </row>
    <row r="58" spans="1:25">
      <c r="A58"/>
      <c r="B58" s="277">
        <v>3.2000000000000001E-2</v>
      </c>
      <c r="C58" s="168">
        <v>67</v>
      </c>
      <c r="D58" s="278"/>
      <c r="F58" s="279">
        <v>4.3000000000000003E-2</v>
      </c>
      <c r="G58" s="280">
        <v>57</v>
      </c>
      <c r="L58" s="280" t="s">
        <v>950</v>
      </c>
      <c r="M58" s="279">
        <v>0.89059999999999995</v>
      </c>
      <c r="O58" s="279">
        <v>7.6800000000000007E-2</v>
      </c>
      <c r="P58" s="281">
        <v>1.95</v>
      </c>
      <c r="Q58" s="279">
        <v>0.39369999999999999</v>
      </c>
      <c r="R58" s="281">
        <v>10</v>
      </c>
      <c r="V58" t="str">
        <f t="shared" si="0"/>
        <v xml:space="preserve">BTU/Hour  &lt;&lt;&lt;&gt;&gt;&gt; Gram-cal/Second </v>
      </c>
      <c r="W58" t="s">
        <v>1142</v>
      </c>
      <c r="X58" t="s">
        <v>228</v>
      </c>
      <c r="Y58">
        <v>7.0000000000000007E-2</v>
      </c>
    </row>
    <row r="59" spans="1:25">
      <c r="A59"/>
      <c r="B59" s="277">
        <v>3.3000000000000002E-2</v>
      </c>
      <c r="C59" s="168">
        <v>66</v>
      </c>
      <c r="D59" s="278"/>
      <c r="F59" s="279">
        <v>4.2000000000000003E-2</v>
      </c>
      <c r="G59" s="280">
        <v>58</v>
      </c>
      <c r="L59" s="280" t="s">
        <v>146</v>
      </c>
      <c r="M59" s="279">
        <v>0.90620000000000001</v>
      </c>
      <c r="O59" s="279">
        <v>7.8700000000000006E-2</v>
      </c>
      <c r="P59" s="281">
        <v>2</v>
      </c>
      <c r="Q59" s="279">
        <v>0.38979999999999998</v>
      </c>
      <c r="R59" s="281">
        <v>9.9</v>
      </c>
      <c r="V59" t="str">
        <f t="shared" si="0"/>
        <v xml:space="preserve">BTU/Hour  &lt;&lt;&lt;&gt;&gt;&gt; HorsePower-Hours </v>
      </c>
      <c r="W59" t="s">
        <v>1142</v>
      </c>
      <c r="X59" t="s">
        <v>1137</v>
      </c>
      <c r="Y59">
        <v>3.9290000000000001E-4</v>
      </c>
    </row>
    <row r="60" spans="1:25">
      <c r="A60"/>
      <c r="B60" s="277">
        <v>3.3500000000000002E-2</v>
      </c>
      <c r="D60" s="278">
        <v>0.85</v>
      </c>
      <c r="F60" s="279">
        <v>4.1000000000000002E-2</v>
      </c>
      <c r="G60" s="280">
        <v>59</v>
      </c>
      <c r="L60" s="280" t="s">
        <v>149</v>
      </c>
      <c r="M60" s="279">
        <v>0.92190000000000005</v>
      </c>
      <c r="O60" s="279">
        <v>8.0700000000000008E-2</v>
      </c>
      <c r="P60" s="281">
        <v>2.0499999999999998</v>
      </c>
      <c r="Q60" s="279">
        <v>0.38579999999999998</v>
      </c>
      <c r="R60" s="281">
        <v>9.8000000000000007</v>
      </c>
      <c r="V60" t="str">
        <f t="shared" si="0"/>
        <v xml:space="preserve">BTU/Hour  &lt;&lt;&lt;&gt;&gt;&gt; Watts </v>
      </c>
      <c r="W60" t="s">
        <v>1142</v>
      </c>
      <c r="X60" t="s">
        <v>229</v>
      </c>
      <c r="Y60">
        <v>0.29310000000000003</v>
      </c>
    </row>
    <row r="61" spans="1:25">
      <c r="A61"/>
      <c r="B61" s="277">
        <v>3.5000000000000003E-2</v>
      </c>
      <c r="C61" s="168">
        <v>65</v>
      </c>
      <c r="D61" s="278"/>
      <c r="F61" s="279">
        <v>0.04</v>
      </c>
      <c r="G61" s="280">
        <v>60</v>
      </c>
      <c r="L61" s="280" t="s">
        <v>151</v>
      </c>
      <c r="M61" s="279">
        <v>0.9375</v>
      </c>
      <c r="O61" s="279">
        <v>8.270000000000001E-2</v>
      </c>
      <c r="P61" s="281">
        <v>2.1</v>
      </c>
      <c r="Q61" s="279">
        <v>0.38390000000000002</v>
      </c>
      <c r="R61" s="281">
        <v>9.75</v>
      </c>
      <c r="V61" t="str">
        <f t="shared" si="0"/>
        <v xml:space="preserve">BTU/Minute  &lt;&lt;&lt;&gt;&gt;&gt; Foot-lbs/Second </v>
      </c>
      <c r="W61" t="s">
        <v>230</v>
      </c>
      <c r="X61" t="s">
        <v>231</v>
      </c>
      <c r="Y61">
        <v>12.96</v>
      </c>
    </row>
    <row r="62" spans="1:25">
      <c r="A62"/>
      <c r="B62" s="277">
        <v>3.5400000000000001E-2</v>
      </c>
      <c r="D62" s="278">
        <v>0.9</v>
      </c>
      <c r="F62" s="279">
        <v>3.9E-2</v>
      </c>
      <c r="G62" s="280">
        <v>61</v>
      </c>
      <c r="L62" s="280" t="s">
        <v>153</v>
      </c>
      <c r="M62" s="279">
        <v>0.95309999999999995</v>
      </c>
      <c r="O62" s="279">
        <v>8.4600000000000009E-2</v>
      </c>
      <c r="P62" s="281">
        <v>2.15</v>
      </c>
      <c r="Q62" s="279">
        <v>0.38190000000000002</v>
      </c>
      <c r="R62" s="281">
        <v>9.6999999999999993</v>
      </c>
      <c r="V62" t="str">
        <f t="shared" si="0"/>
        <v xml:space="preserve">BTU/Minute  &lt;&lt;&lt;&gt;&gt;&gt; HorsePower </v>
      </c>
      <c r="W62" t="s">
        <v>230</v>
      </c>
      <c r="X62" t="s">
        <v>232</v>
      </c>
      <c r="Y62">
        <v>2.3560000000000001E-2</v>
      </c>
    </row>
    <row r="63" spans="1:25">
      <c r="A63"/>
      <c r="B63" s="277">
        <v>3.5999999999999997E-2</v>
      </c>
      <c r="C63" s="168">
        <v>64</v>
      </c>
      <c r="D63" s="278"/>
      <c r="F63" s="279">
        <v>3.7999999999999999E-2</v>
      </c>
      <c r="G63" s="280">
        <v>62</v>
      </c>
      <c r="L63" s="280" t="s">
        <v>156</v>
      </c>
      <c r="M63" s="279">
        <v>0.96879999999999999</v>
      </c>
      <c r="O63" s="279">
        <v>8.660000000000001E-2</v>
      </c>
      <c r="P63" s="281">
        <v>2.2000000000000002</v>
      </c>
      <c r="Q63" s="279">
        <v>0.378</v>
      </c>
      <c r="R63" s="281">
        <v>9.6</v>
      </c>
      <c r="V63" t="str">
        <f t="shared" si="0"/>
        <v xml:space="preserve">BTU/Minute  &lt;&lt;&lt;&gt;&gt;&gt; Kilowatts </v>
      </c>
      <c r="W63" t="s">
        <v>230</v>
      </c>
      <c r="X63" t="s">
        <v>233</v>
      </c>
      <c r="Y63">
        <v>1.7569999999999999E-2</v>
      </c>
    </row>
    <row r="64" spans="1:25">
      <c r="A64"/>
      <c r="B64" s="277">
        <v>3.6999999999999998E-2</v>
      </c>
      <c r="C64" s="168">
        <v>63</v>
      </c>
      <c r="D64" s="278"/>
      <c r="F64" s="279">
        <v>3.6999999999999998E-2</v>
      </c>
      <c r="G64" s="280">
        <v>63</v>
      </c>
      <c r="L64" s="280" t="s">
        <v>161</v>
      </c>
      <c r="M64" s="279">
        <v>0.98440000000000005</v>
      </c>
      <c r="O64" s="279">
        <v>8.8599999999999998E-2</v>
      </c>
      <c r="P64" s="281">
        <v>2.25</v>
      </c>
      <c r="Q64" s="279">
        <v>0.374</v>
      </c>
      <c r="R64" s="281">
        <v>9.5</v>
      </c>
      <c r="V64" t="str">
        <f t="shared" si="0"/>
        <v xml:space="preserve">BTU/Minute  &lt;&lt;&lt;&gt;&gt;&gt; Watts </v>
      </c>
      <c r="W64" t="s">
        <v>230</v>
      </c>
      <c r="X64" t="s">
        <v>229</v>
      </c>
      <c r="Y64">
        <v>17.57</v>
      </c>
    </row>
    <row r="65" spans="1:25">
      <c r="A65"/>
      <c r="B65" s="277">
        <v>3.7400000000000003E-2</v>
      </c>
      <c r="D65" s="278">
        <v>0.95</v>
      </c>
      <c r="F65" s="279">
        <v>3.5999999999999997E-2</v>
      </c>
      <c r="G65" s="280">
        <v>64</v>
      </c>
      <c r="L65" s="280" t="s">
        <v>163</v>
      </c>
      <c r="M65" s="279">
        <v>1</v>
      </c>
      <c r="O65" s="279">
        <v>9.06E-2</v>
      </c>
      <c r="P65" s="281">
        <v>2.2999999999999998</v>
      </c>
      <c r="Q65" s="279">
        <v>0.37009999999999998</v>
      </c>
      <c r="R65" s="281">
        <v>9.4</v>
      </c>
      <c r="V65" t="str">
        <f t="shared" si="0"/>
        <v xml:space="preserve">BTU/Square Foot/Minute  &lt;&lt;&lt;&gt;&gt;&gt; watts/Square in </v>
      </c>
      <c r="W65" t="s">
        <v>234</v>
      </c>
      <c r="X65" t="s">
        <v>235</v>
      </c>
      <c r="Y65">
        <v>0.1221</v>
      </c>
    </row>
    <row r="66" spans="1:25">
      <c r="A66"/>
      <c r="B66" s="277">
        <v>3.7999999999999999E-2</v>
      </c>
      <c r="C66" s="168">
        <v>62</v>
      </c>
      <c r="D66" s="278"/>
      <c r="F66" s="279">
        <v>3.5000000000000003E-2</v>
      </c>
      <c r="G66" s="280">
        <v>65</v>
      </c>
      <c r="L66" s="280" t="s">
        <v>166</v>
      </c>
      <c r="M66" s="279">
        <v>1.0156000000000001</v>
      </c>
      <c r="O66" s="279">
        <v>9.2499999999999999E-2</v>
      </c>
      <c r="P66" s="281">
        <v>2.35</v>
      </c>
      <c r="Q66" s="279">
        <v>0.36609999999999998</v>
      </c>
      <c r="R66" s="281">
        <v>9.3000000000000007</v>
      </c>
      <c r="V66" t="str">
        <f t="shared" si="0"/>
        <v xml:space="preserve">Bushels  &lt;&lt;&lt;&gt;&gt;&gt; Cubic Feet </v>
      </c>
      <c r="W66" t="s">
        <v>236</v>
      </c>
      <c r="X66" t="s">
        <v>1093</v>
      </c>
      <c r="Y66">
        <v>1.2444999999999999</v>
      </c>
    </row>
    <row r="67" spans="1:25">
      <c r="A67"/>
      <c r="B67" s="277">
        <v>3.9E-2</v>
      </c>
      <c r="C67" s="168">
        <v>61</v>
      </c>
      <c r="D67" s="278"/>
      <c r="F67" s="279">
        <v>3.3000000000000002E-2</v>
      </c>
      <c r="G67" s="280">
        <v>66</v>
      </c>
      <c r="L67" s="280" t="s">
        <v>168</v>
      </c>
      <c r="M67" s="279">
        <v>1.0311999999999999</v>
      </c>
      <c r="O67" s="279">
        <v>9.4500000000000001E-2</v>
      </c>
      <c r="P67" s="281">
        <v>2.4</v>
      </c>
      <c r="Q67" s="279">
        <v>0.36420000000000002</v>
      </c>
      <c r="R67" s="281">
        <v>9.25</v>
      </c>
      <c r="V67" t="str">
        <f t="shared" ref="V67:V130" si="1">IF(W67="","",W67&amp;" &lt;&lt;&lt;&gt;&gt;&gt; "&amp;X67)</f>
        <v xml:space="preserve">Bushels  &lt;&lt;&lt;&gt;&gt;&gt; Cubic Inches </v>
      </c>
      <c r="W67" t="s">
        <v>236</v>
      </c>
      <c r="X67" t="s">
        <v>237</v>
      </c>
      <c r="Y67">
        <v>2150.4</v>
      </c>
    </row>
    <row r="68" spans="1:25">
      <c r="A68"/>
      <c r="B68" s="277">
        <v>3.9399999999999998E-2</v>
      </c>
      <c r="D68" s="278">
        <v>1</v>
      </c>
      <c r="F68" s="279">
        <v>3.2000000000000001E-2</v>
      </c>
      <c r="G68" s="280">
        <v>67</v>
      </c>
      <c r="L68" s="280" t="s">
        <v>171</v>
      </c>
      <c r="M68" s="279">
        <v>1.0468999999999999</v>
      </c>
      <c r="O68" s="279">
        <v>9.6500000000000002E-2</v>
      </c>
      <c r="P68" s="281">
        <v>2.4500000000000002</v>
      </c>
      <c r="Q68" s="279">
        <v>0.36220000000000002</v>
      </c>
      <c r="R68" s="281">
        <v>9.1999999999999993</v>
      </c>
      <c r="V68" t="str">
        <f t="shared" si="1"/>
        <v xml:space="preserve">Bushels  &lt;&lt;&lt;&gt;&gt;&gt; Cubic Meters </v>
      </c>
      <c r="W68" t="s">
        <v>236</v>
      </c>
      <c r="X68" t="s">
        <v>238</v>
      </c>
      <c r="Y68">
        <v>3.524E-2</v>
      </c>
    </row>
    <row r="69" spans="1:25">
      <c r="B69" s="287">
        <v>0.04</v>
      </c>
      <c r="C69" s="168">
        <v>60</v>
      </c>
      <c r="F69" s="279">
        <v>3.1E-2</v>
      </c>
      <c r="G69" s="280">
        <v>68</v>
      </c>
      <c r="L69" s="280" t="s">
        <v>173</v>
      </c>
      <c r="M69" s="279">
        <v>1.0625</v>
      </c>
      <c r="O69" s="279">
        <v>9.8400000000000001E-2</v>
      </c>
      <c r="P69" s="281">
        <v>2.5</v>
      </c>
      <c r="Q69" s="279">
        <v>0.35830000000000001</v>
      </c>
      <c r="R69" s="281">
        <v>9.1</v>
      </c>
      <c r="V69" t="str">
        <f t="shared" si="1"/>
        <v xml:space="preserve">Bushels  &lt;&lt;&lt;&gt;&gt;&gt; Liters </v>
      </c>
      <c r="W69" t="s">
        <v>236</v>
      </c>
      <c r="X69" t="s">
        <v>239</v>
      </c>
      <c r="Y69">
        <v>35.24</v>
      </c>
    </row>
    <row r="70" spans="1:25">
      <c r="B70" s="287">
        <v>4.1000000000000002E-2</v>
      </c>
      <c r="C70" s="168">
        <v>59</v>
      </c>
      <c r="F70" s="279">
        <v>2.92E-2</v>
      </c>
      <c r="G70" s="280">
        <v>69</v>
      </c>
      <c r="L70" s="280" t="s">
        <v>176</v>
      </c>
      <c r="M70" s="279">
        <v>1.0781000000000001</v>
      </c>
      <c r="O70" s="279">
        <v>0.1024</v>
      </c>
      <c r="P70" s="281">
        <v>2.6</v>
      </c>
      <c r="Q70" s="279">
        <v>0.3543</v>
      </c>
      <c r="R70" s="281">
        <v>9</v>
      </c>
      <c r="V70" t="str">
        <f t="shared" si="1"/>
        <v xml:space="preserve">Bushels  &lt;&lt;&lt;&gt;&gt;&gt; Pecks </v>
      </c>
      <c r="W70" t="s">
        <v>236</v>
      </c>
      <c r="X70" t="s">
        <v>240</v>
      </c>
      <c r="Y70">
        <v>4</v>
      </c>
    </row>
    <row r="71" spans="1:25">
      <c r="B71" s="287">
        <v>4.1300000000000003E-2</v>
      </c>
      <c r="D71" s="1">
        <v>1.05</v>
      </c>
      <c r="F71" s="279">
        <v>2.8000000000000001E-2</v>
      </c>
      <c r="G71" s="280">
        <v>70</v>
      </c>
      <c r="L71" s="280" t="s">
        <v>181</v>
      </c>
      <c r="M71" s="279">
        <v>1.0938000000000001</v>
      </c>
      <c r="O71" s="279">
        <v>0.10630000000000001</v>
      </c>
      <c r="P71" s="281">
        <v>2.7</v>
      </c>
      <c r="Q71" s="279">
        <v>0.35039999999999999</v>
      </c>
      <c r="R71" s="281">
        <v>8.9</v>
      </c>
      <c r="V71" t="str">
        <f t="shared" si="1"/>
        <v xml:space="preserve">Bushels  &lt;&lt;&lt;&gt;&gt;&gt; Pint (dry) </v>
      </c>
      <c r="W71" t="s">
        <v>236</v>
      </c>
      <c r="X71" t="s">
        <v>241</v>
      </c>
      <c r="Y71">
        <v>64</v>
      </c>
    </row>
    <row r="72" spans="1:25">
      <c r="B72" s="287">
        <v>4.2000000000000003E-2</v>
      </c>
      <c r="C72" s="168">
        <v>58</v>
      </c>
      <c r="F72" s="279">
        <v>2.5999999999999999E-2</v>
      </c>
      <c r="G72" s="280">
        <v>71</v>
      </c>
      <c r="L72" s="280" t="s">
        <v>184</v>
      </c>
      <c r="M72" s="279">
        <v>1.1093999999999999</v>
      </c>
      <c r="O72" s="279">
        <v>0.10829999999999999</v>
      </c>
      <c r="P72" s="281">
        <v>2.75</v>
      </c>
      <c r="Q72" s="279">
        <v>0.34650000000000003</v>
      </c>
      <c r="R72" s="281">
        <v>8.8000000000000007</v>
      </c>
      <c r="V72" t="str">
        <f t="shared" si="1"/>
        <v xml:space="preserve">Bushels  &lt;&lt;&lt;&gt;&gt;&gt; Quarts (dry) </v>
      </c>
      <c r="W72" t="s">
        <v>236</v>
      </c>
      <c r="X72" t="s">
        <v>1122</v>
      </c>
      <c r="Y72">
        <v>32</v>
      </c>
    </row>
    <row r="73" spans="1:25">
      <c r="B73" s="287">
        <v>4.3000000000000003E-2</v>
      </c>
      <c r="C73" s="168">
        <v>57</v>
      </c>
      <c r="F73" s="279">
        <v>2.5000000000000001E-2</v>
      </c>
      <c r="G73" s="280">
        <v>72</v>
      </c>
      <c r="L73" s="280" t="s">
        <v>187</v>
      </c>
      <c r="M73" s="279">
        <v>1.125</v>
      </c>
      <c r="O73" s="279">
        <v>0.11020000000000001</v>
      </c>
      <c r="P73" s="281">
        <v>2.8</v>
      </c>
      <c r="Q73" s="279">
        <v>0.34450000000000003</v>
      </c>
      <c r="R73" s="281">
        <v>8.75</v>
      </c>
      <c r="V73" t="str">
        <f t="shared" si="1"/>
        <v xml:space="preserve">Calorie  &lt;&lt;&lt;&gt;&gt;&gt; HorsePower-hour </v>
      </c>
      <c r="W73" t="s">
        <v>242</v>
      </c>
      <c r="X73" t="s">
        <v>243</v>
      </c>
      <c r="Y73">
        <v>1.5600000000000001E-6</v>
      </c>
    </row>
    <row r="74" spans="1:25">
      <c r="B74" s="287">
        <v>4.3300000000000005E-2</v>
      </c>
      <c r="D74" s="1">
        <v>1.1000000000000001</v>
      </c>
      <c r="F74" s="279">
        <v>2.4E-2</v>
      </c>
      <c r="G74" s="280">
        <v>73</v>
      </c>
      <c r="L74" s="280" t="s">
        <v>190</v>
      </c>
      <c r="M74" s="279">
        <v>1.1406000000000001</v>
      </c>
      <c r="O74" s="279">
        <v>0.1142</v>
      </c>
      <c r="P74" s="281">
        <v>2.9</v>
      </c>
      <c r="Q74" s="279">
        <v>0.34250000000000003</v>
      </c>
      <c r="R74" s="281">
        <v>8.6999999999999993</v>
      </c>
      <c r="V74" t="str">
        <f t="shared" si="1"/>
        <v xml:space="preserve">Calorie  &lt;&lt;&lt;&gt;&gt;&gt; HorsePower-hour (metric) </v>
      </c>
      <c r="W74" t="s">
        <v>242</v>
      </c>
      <c r="X74" t="s">
        <v>244</v>
      </c>
      <c r="Y74">
        <v>1.5799999999999999E-6</v>
      </c>
    </row>
    <row r="75" spans="1:25">
      <c r="B75" s="287">
        <v>4.53E-2</v>
      </c>
      <c r="D75" s="1">
        <v>1.1499999999999999</v>
      </c>
      <c r="F75" s="279">
        <v>2.2499999999999999E-2</v>
      </c>
      <c r="G75" s="280">
        <v>74</v>
      </c>
      <c r="L75" s="280" t="s">
        <v>192</v>
      </c>
      <c r="M75" s="279">
        <v>1.1561999999999999</v>
      </c>
      <c r="O75" s="279">
        <v>0.1181</v>
      </c>
      <c r="P75" s="281">
        <v>3</v>
      </c>
      <c r="Q75" s="279">
        <v>0.33860000000000001</v>
      </c>
      <c r="R75" s="281">
        <v>8.6</v>
      </c>
      <c r="V75" t="str">
        <f t="shared" si="1"/>
        <v xml:space="preserve">Calorie  &lt;&lt;&lt;&gt;&gt;&gt; Joule </v>
      </c>
      <c r="W75" t="s">
        <v>242</v>
      </c>
      <c r="X75" t="s">
        <v>245</v>
      </c>
      <c r="Y75">
        <v>4.1867999999999999</v>
      </c>
    </row>
    <row r="76" spans="1:25">
      <c r="B76" s="287">
        <v>4.65E-2</v>
      </c>
      <c r="C76" s="168">
        <v>56</v>
      </c>
      <c r="F76" s="279">
        <v>2.1000000000000001E-2</v>
      </c>
      <c r="G76" s="280">
        <v>75</v>
      </c>
      <c r="L76" s="280" t="s">
        <v>195</v>
      </c>
      <c r="M76" s="279">
        <v>1.1718999999999999</v>
      </c>
      <c r="O76" s="279">
        <v>0.122</v>
      </c>
      <c r="P76" s="281">
        <v>3.1</v>
      </c>
      <c r="Q76" s="279">
        <v>0.33460000000000001</v>
      </c>
      <c r="R76" s="281">
        <v>8.5</v>
      </c>
      <c r="V76" t="str">
        <f t="shared" si="1"/>
        <v xml:space="preserve">Calorie  &lt;&lt;&lt;&gt;&gt;&gt; Kilowatt-hour </v>
      </c>
      <c r="W76" t="s">
        <v>242</v>
      </c>
      <c r="X76" t="s">
        <v>246</v>
      </c>
      <c r="Y76">
        <v>1.1599999999999999E-6</v>
      </c>
    </row>
    <row r="77" spans="1:25">
      <c r="A77" s="168" t="s">
        <v>157</v>
      </c>
      <c r="B77" s="287">
        <v>4.6900000000000004E-2</v>
      </c>
      <c r="F77" s="279">
        <v>0.02</v>
      </c>
      <c r="G77" s="280">
        <v>76</v>
      </c>
      <c r="L77" s="280" t="s">
        <v>199</v>
      </c>
      <c r="M77" s="279">
        <v>1.1875</v>
      </c>
      <c r="O77" s="279">
        <v>0.126</v>
      </c>
      <c r="P77" s="281">
        <v>3.2</v>
      </c>
      <c r="Q77" s="279">
        <v>0.33069999999999999</v>
      </c>
      <c r="R77" s="281">
        <v>8.4</v>
      </c>
      <c r="V77" t="str">
        <f t="shared" si="1"/>
        <v xml:space="preserve">Calorie, Gram (mean)  &lt;&lt;&lt;&gt;&gt;&gt; BTU (mean) </v>
      </c>
      <c r="W77" t="s">
        <v>247</v>
      </c>
      <c r="X77" t="s">
        <v>248</v>
      </c>
      <c r="Y77">
        <v>3.96832E-3</v>
      </c>
    </row>
    <row r="78" spans="1:25">
      <c r="B78" s="287">
        <v>4.7199999999999999E-2</v>
      </c>
      <c r="D78" s="1">
        <v>1.2</v>
      </c>
      <c r="F78" s="279">
        <v>1.7999999999999999E-2</v>
      </c>
      <c r="G78" s="280">
        <v>77</v>
      </c>
      <c r="L78" s="280" t="s">
        <v>203</v>
      </c>
      <c r="M78" s="279">
        <v>1.2031000000000001</v>
      </c>
      <c r="O78" s="279">
        <v>0.128</v>
      </c>
      <c r="P78" s="281">
        <v>3.25</v>
      </c>
      <c r="Q78" s="279">
        <v>0.32679999999999998</v>
      </c>
      <c r="R78" s="281">
        <v>8.3000000000000007</v>
      </c>
      <c r="V78" t="str">
        <f t="shared" si="1"/>
        <v xml:space="preserve">Candle/Square Centimeters  &lt;&lt;&lt;&gt;&gt;&gt; Lamberts </v>
      </c>
      <c r="W78" t="s">
        <v>249</v>
      </c>
      <c r="X78" t="s">
        <v>250</v>
      </c>
      <c r="Y78">
        <v>3.1419999999999999</v>
      </c>
    </row>
    <row r="79" spans="1:25">
      <c r="B79" s="287">
        <v>4.9200000000000001E-2</v>
      </c>
      <c r="D79" s="1">
        <v>1.25</v>
      </c>
      <c r="F79" s="279">
        <v>1.6E-2</v>
      </c>
      <c r="G79" s="280">
        <v>78</v>
      </c>
      <c r="L79" s="280" t="s">
        <v>205</v>
      </c>
      <c r="M79" s="279">
        <v>1.2188000000000001</v>
      </c>
      <c r="O79" s="279">
        <v>0.12989999999999999</v>
      </c>
      <c r="P79" s="281">
        <v>3.3</v>
      </c>
      <c r="Q79" s="279">
        <v>0.32479999999999998</v>
      </c>
      <c r="R79" s="281">
        <v>8.25</v>
      </c>
      <c r="V79" t="str">
        <f t="shared" si="1"/>
        <v xml:space="preserve">Candle/Square Inch  &lt;&lt;&lt;&gt;&gt;&gt; Lamberts </v>
      </c>
      <c r="W79" t="s">
        <v>251</v>
      </c>
      <c r="X79" t="s">
        <v>250</v>
      </c>
      <c r="Y79">
        <v>0.48699999999999999</v>
      </c>
    </row>
    <row r="80" spans="1:25">
      <c r="B80" s="287">
        <v>5.1200000000000002E-2</v>
      </c>
      <c r="D80" s="1">
        <v>1.3</v>
      </c>
      <c r="F80" s="279">
        <v>1.4500000000000001E-2</v>
      </c>
      <c r="G80" s="280">
        <v>79</v>
      </c>
      <c r="L80" s="280" t="s">
        <v>208</v>
      </c>
      <c r="M80" s="279">
        <v>1.2343999999999999</v>
      </c>
      <c r="O80" s="279">
        <v>0.13389999999999999</v>
      </c>
      <c r="P80" s="281">
        <v>3.4</v>
      </c>
      <c r="Q80" s="279">
        <v>0.32279999999999998</v>
      </c>
      <c r="R80" s="281">
        <v>8.1999999999999993</v>
      </c>
      <c r="V80" t="str">
        <f t="shared" si="1"/>
        <v xml:space="preserve">Centares (centiares)  &lt;&lt;&lt;&gt;&gt;&gt; Square Meters </v>
      </c>
      <c r="W80" t="s">
        <v>252</v>
      </c>
      <c r="X80" t="s">
        <v>1098</v>
      </c>
      <c r="Y80">
        <v>1</v>
      </c>
    </row>
    <row r="81" spans="1:25">
      <c r="B81" s="287">
        <v>5.2000000000000005E-2</v>
      </c>
      <c r="C81" s="168">
        <v>55</v>
      </c>
      <c r="F81" s="279">
        <v>1.35E-2</v>
      </c>
      <c r="G81" s="280">
        <v>80</v>
      </c>
      <c r="L81" s="280" t="s">
        <v>210</v>
      </c>
      <c r="M81" s="279">
        <v>1.25</v>
      </c>
      <c r="O81" s="279">
        <v>0.13780000000000001</v>
      </c>
      <c r="P81" s="281">
        <v>3.5</v>
      </c>
      <c r="Q81" s="279">
        <v>0.31890000000000002</v>
      </c>
      <c r="R81" s="281">
        <v>8.1</v>
      </c>
      <c r="V81" t="str">
        <f t="shared" si="1"/>
        <v xml:space="preserve">Centigrams  &lt;&lt;&lt;&gt;&gt;&gt; Grams </v>
      </c>
      <c r="W81" t="s">
        <v>253</v>
      </c>
      <c r="X81" t="s">
        <v>254</v>
      </c>
      <c r="Y81">
        <v>0.01</v>
      </c>
    </row>
    <row r="82" spans="1:25">
      <c r="B82" s="287">
        <v>5.3100000000000001E-2</v>
      </c>
      <c r="D82" s="1">
        <v>1.35</v>
      </c>
      <c r="F82" s="279">
        <v>1.2999999999999999E-2</v>
      </c>
      <c r="G82" s="280">
        <v>81</v>
      </c>
      <c r="L82" s="280" t="s">
        <v>213</v>
      </c>
      <c r="M82" s="279">
        <v>1.2656000000000001</v>
      </c>
      <c r="O82" s="279">
        <v>0.14169999999999999</v>
      </c>
      <c r="P82" s="281">
        <v>3.6</v>
      </c>
      <c r="Q82" s="279">
        <v>0.315</v>
      </c>
      <c r="R82" s="281">
        <v>8</v>
      </c>
      <c r="V82" t="str">
        <f t="shared" si="1"/>
        <v xml:space="preserve">Centiliter  &lt;&lt;&lt;&gt;&gt;&gt; Ounce fluid (US) </v>
      </c>
      <c r="W82" t="s">
        <v>255</v>
      </c>
      <c r="X82" t="s">
        <v>256</v>
      </c>
      <c r="Y82">
        <v>0.3382</v>
      </c>
    </row>
    <row r="83" spans="1:25">
      <c r="B83" s="287">
        <v>5.5E-2</v>
      </c>
      <c r="C83" s="168">
        <v>54</v>
      </c>
      <c r="F83" s="279">
        <v>1.2500000000000001E-2</v>
      </c>
      <c r="G83" s="280">
        <v>82</v>
      </c>
      <c r="L83" s="280" t="s">
        <v>217</v>
      </c>
      <c r="M83" s="279">
        <v>1.2811999999999999</v>
      </c>
      <c r="O83" s="279">
        <v>0.1457</v>
      </c>
      <c r="P83" s="281">
        <v>3.7</v>
      </c>
      <c r="Q83" s="279">
        <v>0.311</v>
      </c>
      <c r="R83" s="281">
        <v>7.9</v>
      </c>
      <c r="V83" t="str">
        <f t="shared" si="1"/>
        <v xml:space="preserve">Centiliters  &lt;&lt;&lt;&gt;&gt;&gt; Liters </v>
      </c>
      <c r="W83" t="s">
        <v>257</v>
      </c>
      <c r="X83" t="s">
        <v>239</v>
      </c>
      <c r="Y83">
        <v>0.01</v>
      </c>
    </row>
    <row r="84" spans="1:25">
      <c r="B84" s="287">
        <v>5.5100000000000003E-2</v>
      </c>
      <c r="D84" s="1">
        <v>1.4</v>
      </c>
      <c r="F84" s="279">
        <v>1.2E-2</v>
      </c>
      <c r="G84" s="280">
        <v>83</v>
      </c>
      <c r="L84" s="280" t="s">
        <v>219</v>
      </c>
      <c r="M84" s="279">
        <v>1.2968999999999999</v>
      </c>
      <c r="O84" s="279">
        <v>0.14760000000000001</v>
      </c>
      <c r="P84" s="281">
        <v>3.75</v>
      </c>
      <c r="Q84" s="279">
        <v>0.30709999999999998</v>
      </c>
      <c r="R84" s="281">
        <v>7.8</v>
      </c>
      <c r="V84" t="str">
        <f t="shared" si="1"/>
        <v>Centimeter-Dynes &lt;&lt;&lt;&gt;&gt;&gt; Meter-kgs</v>
      </c>
      <c r="W84" t="s">
        <v>258</v>
      </c>
      <c r="X84" t="s">
        <v>259</v>
      </c>
      <c r="Y84">
        <v>1.02E-8</v>
      </c>
    </row>
    <row r="85" spans="1:25">
      <c r="B85" s="287">
        <v>5.7100000000000005E-2</v>
      </c>
      <c r="D85" s="1">
        <v>1.45</v>
      </c>
      <c r="F85" s="279">
        <v>1.15E-2</v>
      </c>
      <c r="G85" s="280">
        <v>84</v>
      </c>
      <c r="L85" s="280" t="s">
        <v>222</v>
      </c>
      <c r="M85" s="279">
        <v>1.3125</v>
      </c>
      <c r="O85" s="279">
        <v>0.14960000000000001</v>
      </c>
      <c r="P85" s="281">
        <v>3.8</v>
      </c>
      <c r="Q85" s="279">
        <v>0.30509999999999998</v>
      </c>
      <c r="R85" s="281">
        <v>7.75</v>
      </c>
      <c r="V85" t="str">
        <f t="shared" si="1"/>
        <v>Centimeter-Dynes &lt;&lt;&lt;&gt;&gt;&gt; Pound-Feet</v>
      </c>
      <c r="W85" t="s">
        <v>258</v>
      </c>
      <c r="X85" t="s">
        <v>260</v>
      </c>
      <c r="Y85">
        <v>7.3799999999999999E-8</v>
      </c>
    </row>
    <row r="86" spans="1:25">
      <c r="B86" s="287">
        <v>5.91E-2</v>
      </c>
      <c r="D86" s="1">
        <v>1.5</v>
      </c>
      <c r="F86" s="279">
        <v>1.0999999999999999E-2</v>
      </c>
      <c r="G86" s="280">
        <v>85</v>
      </c>
      <c r="L86" s="280" t="s">
        <v>224</v>
      </c>
      <c r="M86" s="279">
        <v>1.3281000000000001</v>
      </c>
      <c r="O86" s="279">
        <v>0.1535</v>
      </c>
      <c r="P86" s="281">
        <v>3.9</v>
      </c>
      <c r="Q86" s="279">
        <v>0.30309999999999998</v>
      </c>
      <c r="R86" s="281">
        <v>7.7</v>
      </c>
      <c r="V86" t="str">
        <f t="shared" si="1"/>
        <v>Centimeters &lt;&lt;&lt;&gt;&gt;&gt; Feet</v>
      </c>
      <c r="W86" t="s">
        <v>60</v>
      </c>
      <c r="X86" t="s">
        <v>62</v>
      </c>
      <c r="Y86">
        <v>3.2808400000000001E-2</v>
      </c>
    </row>
    <row r="87" spans="1:25">
      <c r="B87" s="287">
        <v>5.9500000000000004E-2</v>
      </c>
      <c r="C87" s="168">
        <v>53</v>
      </c>
      <c r="F87" s="279">
        <v>1.0500000000000001E-2</v>
      </c>
      <c r="G87" s="280">
        <v>86</v>
      </c>
      <c r="L87" s="280" t="s">
        <v>919</v>
      </c>
      <c r="M87" s="279">
        <v>1.3438000000000001</v>
      </c>
      <c r="O87" s="279">
        <v>0.1575</v>
      </c>
      <c r="P87" s="281">
        <v>4</v>
      </c>
      <c r="Q87" s="279">
        <v>0.29920000000000002</v>
      </c>
      <c r="R87" s="281">
        <v>7.6</v>
      </c>
      <c r="V87" t="str">
        <f t="shared" si="1"/>
        <v>Centimeters &lt;&lt;&lt;&gt;&gt;&gt; Inches</v>
      </c>
      <c r="W87" t="s">
        <v>60</v>
      </c>
      <c r="X87" t="s">
        <v>56</v>
      </c>
      <c r="Y87">
        <v>0.39370080000000002</v>
      </c>
    </row>
    <row r="88" spans="1:25">
      <c r="B88" s="287">
        <v>6.1000000000000006E-2</v>
      </c>
      <c r="D88" s="1">
        <v>1.55</v>
      </c>
      <c r="F88" s="279">
        <v>0.01</v>
      </c>
      <c r="G88" s="280">
        <v>87</v>
      </c>
      <c r="L88" s="280" t="s">
        <v>923</v>
      </c>
      <c r="M88" s="279">
        <v>1.3593999999999999</v>
      </c>
      <c r="O88" s="279">
        <v>0.16139999999999999</v>
      </c>
      <c r="P88" s="281">
        <v>4.0999999999999996</v>
      </c>
      <c r="Q88" s="279">
        <v>0.29530000000000001</v>
      </c>
      <c r="R88" s="281">
        <v>7.5</v>
      </c>
      <c r="V88" t="str">
        <f t="shared" si="1"/>
        <v>Centimeters &lt;&lt;&lt;&gt;&gt;&gt; Kilometers</v>
      </c>
      <c r="W88" t="s">
        <v>60</v>
      </c>
      <c r="X88" t="s">
        <v>70</v>
      </c>
      <c r="Y88">
        <v>1.0000000000000001E-5</v>
      </c>
    </row>
    <row r="89" spans="1:25">
      <c r="A89" s="168" t="s">
        <v>177</v>
      </c>
      <c r="B89" s="287">
        <v>6.25E-2</v>
      </c>
      <c r="F89" s="279">
        <v>9.4999999999999998E-3</v>
      </c>
      <c r="G89" s="280">
        <v>88</v>
      </c>
      <c r="L89" s="280" t="s">
        <v>925</v>
      </c>
      <c r="M89" s="279">
        <v>1.375</v>
      </c>
      <c r="O89" s="279">
        <v>0.16539999999999999</v>
      </c>
      <c r="P89" s="281">
        <v>4.2</v>
      </c>
      <c r="Q89" s="279">
        <v>0.2913</v>
      </c>
      <c r="R89" s="281">
        <v>7.4</v>
      </c>
      <c r="V89" t="str">
        <f t="shared" si="1"/>
        <v>Centimeters &lt;&lt;&lt;&gt;&gt;&gt; Meters</v>
      </c>
      <c r="W89" t="s">
        <v>60</v>
      </c>
      <c r="X89" t="s">
        <v>64</v>
      </c>
      <c r="Y89">
        <v>0.01</v>
      </c>
    </row>
    <row r="90" spans="1:25">
      <c r="B90" s="287">
        <v>6.3E-2</v>
      </c>
      <c r="D90" s="1">
        <v>1.6</v>
      </c>
      <c r="F90" s="279">
        <v>9.1000000000000004E-3</v>
      </c>
      <c r="G90" s="280">
        <v>89</v>
      </c>
      <c r="L90" s="280" t="s">
        <v>928</v>
      </c>
      <c r="M90" s="279">
        <v>1.3906000000000001</v>
      </c>
      <c r="O90" s="279">
        <v>0.1673</v>
      </c>
      <c r="P90" s="281">
        <v>4.25</v>
      </c>
      <c r="Q90" s="279">
        <v>0.28739999999999999</v>
      </c>
      <c r="R90" s="281">
        <v>7.3</v>
      </c>
      <c r="V90" t="str">
        <f t="shared" si="1"/>
        <v>Centimeters &lt;&lt;&lt;&gt;&gt;&gt; Miles</v>
      </c>
      <c r="W90" t="s">
        <v>60</v>
      </c>
      <c r="X90" t="s">
        <v>68</v>
      </c>
      <c r="Y90">
        <v>6.2099999999999998E-6</v>
      </c>
    </row>
    <row r="91" spans="1:25">
      <c r="B91" s="287">
        <v>6.3500000000000001E-2</v>
      </c>
      <c r="C91" s="168">
        <v>52</v>
      </c>
      <c r="F91" s="279">
        <v>8.6999999999999994E-3</v>
      </c>
      <c r="G91" s="280">
        <v>90</v>
      </c>
      <c r="L91" s="280" t="s">
        <v>931</v>
      </c>
      <c r="M91" s="279">
        <v>1.4061999999999999</v>
      </c>
      <c r="O91" s="279">
        <v>0.16930000000000001</v>
      </c>
      <c r="P91" s="281">
        <v>4.3</v>
      </c>
      <c r="Q91" s="279">
        <v>0.28539999999999999</v>
      </c>
      <c r="R91" s="281">
        <v>7.25</v>
      </c>
      <c r="V91" t="str">
        <f t="shared" si="1"/>
        <v>Centimeters &lt;&lt;&lt;&gt;&gt;&gt; Millimeters</v>
      </c>
      <c r="W91" t="s">
        <v>60</v>
      </c>
      <c r="X91" t="s">
        <v>58</v>
      </c>
      <c r="Y91">
        <v>10</v>
      </c>
    </row>
    <row r="92" spans="1:25">
      <c r="B92" s="287">
        <v>6.5000000000000002E-2</v>
      </c>
      <c r="D92" s="1">
        <v>1.65</v>
      </c>
      <c r="F92" s="279">
        <v>8.3000000000000001E-3</v>
      </c>
      <c r="G92" s="280">
        <v>91</v>
      </c>
      <c r="L92" s="280" t="s">
        <v>934</v>
      </c>
      <c r="M92" s="279">
        <v>1.4218999999999999</v>
      </c>
      <c r="O92" s="279">
        <v>0.17319999999999999</v>
      </c>
      <c r="P92" s="281">
        <v>4.4000000000000004</v>
      </c>
      <c r="Q92" s="279">
        <v>0.28350000000000003</v>
      </c>
      <c r="R92" s="281">
        <v>7.2</v>
      </c>
      <c r="V92" t="str">
        <f t="shared" si="1"/>
        <v>Centimeters &lt;&lt;&lt;&gt;&gt;&gt; Mils</v>
      </c>
      <c r="W92" t="s">
        <v>60</v>
      </c>
      <c r="X92" t="s">
        <v>261</v>
      </c>
      <c r="Y92">
        <v>393.7</v>
      </c>
    </row>
    <row r="93" spans="1:25">
      <c r="B93" s="287">
        <v>6.6900000000000001E-2</v>
      </c>
      <c r="D93" s="1">
        <v>1.7</v>
      </c>
      <c r="F93" s="279">
        <v>7.9000000000000008E-3</v>
      </c>
      <c r="G93" s="280">
        <v>92</v>
      </c>
      <c r="L93" s="280" t="s">
        <v>936</v>
      </c>
      <c r="M93" s="279">
        <v>1.4375</v>
      </c>
      <c r="O93" s="279">
        <v>0.1772</v>
      </c>
      <c r="P93" s="281">
        <v>4.5</v>
      </c>
      <c r="Q93" s="279">
        <v>0.27950000000000003</v>
      </c>
      <c r="R93" s="281">
        <v>7.1</v>
      </c>
      <c r="V93" t="str">
        <f t="shared" si="1"/>
        <v>Centimeters &lt;&lt;&lt;&gt;&gt;&gt; Yards</v>
      </c>
      <c r="W93" t="s">
        <v>60</v>
      </c>
      <c r="X93" t="s">
        <v>65</v>
      </c>
      <c r="Y93">
        <v>1.094E-2</v>
      </c>
    </row>
    <row r="94" spans="1:25">
      <c r="B94" s="287">
        <v>6.7000000000000004E-2</v>
      </c>
      <c r="C94" s="168">
        <v>51</v>
      </c>
      <c r="F94" s="279">
        <v>7.4999999999999997E-3</v>
      </c>
      <c r="G94" s="280">
        <v>93</v>
      </c>
      <c r="L94" s="280" t="s">
        <v>941</v>
      </c>
      <c r="M94" s="279">
        <v>1.4531000000000001</v>
      </c>
      <c r="O94" s="279">
        <v>0.18110000000000001</v>
      </c>
      <c r="P94" s="281">
        <v>4.5999999999999996</v>
      </c>
      <c r="Q94" s="279">
        <v>0.27560000000000001</v>
      </c>
      <c r="R94" s="281">
        <v>7</v>
      </c>
      <c r="V94" t="str">
        <f t="shared" si="1"/>
        <v xml:space="preserve">Centimeters of Mercury  &lt;&lt;&lt;&gt;&gt;&gt; Atmospheres </v>
      </c>
      <c r="W94" t="s">
        <v>262</v>
      </c>
      <c r="X94" t="s">
        <v>1107</v>
      </c>
      <c r="Y94">
        <v>1.316E-2</v>
      </c>
    </row>
    <row r="95" spans="1:25">
      <c r="B95" s="287">
        <v>6.8900000000000003E-2</v>
      </c>
      <c r="D95" s="1">
        <v>1.75</v>
      </c>
      <c r="F95" s="279">
        <v>7.1000000000000004E-3</v>
      </c>
      <c r="G95" s="280">
        <v>94</v>
      </c>
      <c r="L95" s="280" t="s">
        <v>944</v>
      </c>
      <c r="M95" s="279">
        <v>1.4688000000000001</v>
      </c>
      <c r="O95" s="279">
        <v>0.185</v>
      </c>
      <c r="P95" s="281">
        <v>4.7</v>
      </c>
      <c r="Q95" s="279">
        <v>0.2717</v>
      </c>
      <c r="R95" s="281">
        <v>6.9</v>
      </c>
      <c r="V95" t="str">
        <f t="shared" si="1"/>
        <v xml:space="preserve">Centimeters of Mercury  &lt;&lt;&lt;&gt;&gt;&gt; Feet of water </v>
      </c>
      <c r="W95" t="s">
        <v>262</v>
      </c>
      <c r="X95" t="s">
        <v>263</v>
      </c>
      <c r="Y95">
        <v>0.4461</v>
      </c>
    </row>
    <row r="96" spans="1:25">
      <c r="B96" s="287">
        <v>7.0000000000000007E-2</v>
      </c>
      <c r="C96" s="168">
        <v>50</v>
      </c>
      <c r="F96" s="279">
        <v>6.7000000000000002E-3</v>
      </c>
      <c r="G96" s="280">
        <v>95</v>
      </c>
      <c r="L96" s="280" t="s">
        <v>946</v>
      </c>
      <c r="M96" s="279">
        <v>1.4843999999999999</v>
      </c>
      <c r="O96" s="279">
        <v>0.187</v>
      </c>
      <c r="P96" s="281">
        <v>4.75</v>
      </c>
      <c r="Q96" s="279">
        <v>0.26769999999999999</v>
      </c>
      <c r="R96" s="281">
        <v>6.8</v>
      </c>
      <c r="V96" t="str">
        <f t="shared" si="1"/>
        <v xml:space="preserve">Centimeters of Mercury  &lt;&lt;&lt;&gt;&gt;&gt; Kgs/sq. meter </v>
      </c>
      <c r="W96" t="s">
        <v>262</v>
      </c>
      <c r="X96" t="s">
        <v>1114</v>
      </c>
      <c r="Y96">
        <v>136</v>
      </c>
    </row>
    <row r="97" spans="1:25">
      <c r="B97" s="287">
        <v>7.0900000000000005E-2</v>
      </c>
      <c r="D97" s="1">
        <v>1.8</v>
      </c>
      <c r="F97" s="279">
        <v>6.3E-3</v>
      </c>
      <c r="G97" s="280">
        <v>96</v>
      </c>
      <c r="L97" s="280" t="s">
        <v>949</v>
      </c>
      <c r="M97" s="279">
        <v>1.5</v>
      </c>
      <c r="O97" s="279">
        <v>0.189</v>
      </c>
      <c r="P97" s="281">
        <v>4.8</v>
      </c>
      <c r="Q97" s="279">
        <v>0.26569999999999999</v>
      </c>
      <c r="R97" s="281">
        <v>6.75</v>
      </c>
      <c r="V97" t="str">
        <f t="shared" si="1"/>
        <v xml:space="preserve">Centimeters of Mercury  &lt;&lt;&lt;&gt;&gt;&gt; Pounds/sq. Foot </v>
      </c>
      <c r="W97" t="s">
        <v>262</v>
      </c>
      <c r="X97" t="s">
        <v>1129</v>
      </c>
      <c r="Y97">
        <v>27.85</v>
      </c>
    </row>
    <row r="98" spans="1:25">
      <c r="B98" s="287">
        <v>7.2800000000000004E-2</v>
      </c>
      <c r="D98" s="1">
        <v>1.85</v>
      </c>
      <c r="F98" s="279">
        <v>5.8999999999999999E-3</v>
      </c>
      <c r="G98" s="280">
        <v>97</v>
      </c>
      <c r="O98" s="279">
        <v>0.19289999999999999</v>
      </c>
      <c r="P98" s="281">
        <v>4.9000000000000004</v>
      </c>
      <c r="Q98" s="279">
        <v>0.26379999999999998</v>
      </c>
      <c r="R98" s="281">
        <v>6.7</v>
      </c>
      <c r="V98" t="str">
        <f t="shared" si="1"/>
        <v xml:space="preserve">Centimeters of Mercury  &lt;&lt;&lt;&gt;&gt;&gt; Pounds/sq. Inch </v>
      </c>
      <c r="W98" t="s">
        <v>262</v>
      </c>
      <c r="X98" t="s">
        <v>1115</v>
      </c>
      <c r="Y98">
        <v>0.19339999999999999</v>
      </c>
    </row>
    <row r="99" spans="1:25">
      <c r="B99" s="287">
        <v>7.2999999999999995E-2</v>
      </c>
      <c r="C99" s="168">
        <v>49</v>
      </c>
      <c r="O99" s="279">
        <v>0.19689999999999999</v>
      </c>
      <c r="P99" s="281">
        <v>5</v>
      </c>
      <c r="Q99" s="279">
        <v>0.25979999999999998</v>
      </c>
      <c r="R99" s="281">
        <v>6.6</v>
      </c>
      <c r="V99" t="str">
        <f t="shared" si="1"/>
        <v>Centimeters per Minute &lt;&lt;&lt;&gt;&gt;&gt; Inches per Minute</v>
      </c>
      <c r="W99" t="s">
        <v>264</v>
      </c>
      <c r="X99" t="s">
        <v>265</v>
      </c>
      <c r="Y99">
        <v>0.39370080000000002</v>
      </c>
    </row>
    <row r="100" spans="1:25">
      <c r="B100" s="287">
        <v>7.4800000000000005E-2</v>
      </c>
      <c r="D100" s="1">
        <v>1.9</v>
      </c>
      <c r="F100" s="274" t="s">
        <v>269</v>
      </c>
      <c r="G100" s="274"/>
      <c r="I100" s="274" t="s">
        <v>269</v>
      </c>
      <c r="J100" s="274"/>
      <c r="O100" s="279">
        <v>0.20080000000000001</v>
      </c>
      <c r="P100" s="281">
        <v>5.0999999999999996</v>
      </c>
      <c r="Q100" s="279">
        <v>0.25590000000000002</v>
      </c>
      <c r="R100" s="281">
        <v>6.5</v>
      </c>
      <c r="V100" t="str">
        <f t="shared" si="1"/>
        <v>Centimeters per Second &lt;&lt;&lt;&gt;&gt;&gt; Feet per Minute</v>
      </c>
      <c r="W100" t="s">
        <v>266</v>
      </c>
      <c r="X100" t="s">
        <v>267</v>
      </c>
      <c r="Y100">
        <v>1.968504</v>
      </c>
    </row>
    <row r="101" spans="1:25">
      <c r="B101" s="287">
        <v>7.5999999999999998E-2</v>
      </c>
      <c r="C101" s="168">
        <v>48</v>
      </c>
      <c r="F101" s="279">
        <v>5.8999999999999999E-3</v>
      </c>
      <c r="G101" s="280">
        <v>97</v>
      </c>
      <c r="I101" s="279">
        <v>1.5</v>
      </c>
      <c r="J101" s="280" t="s">
        <v>949</v>
      </c>
      <c r="O101" s="279">
        <v>0.20469999999999999</v>
      </c>
      <c r="P101" s="281">
        <v>5.2</v>
      </c>
      <c r="Q101" s="279">
        <v>0.252</v>
      </c>
      <c r="R101" s="281">
        <v>6.4</v>
      </c>
      <c r="V101" t="str">
        <f t="shared" si="1"/>
        <v>Centimeters per Second &lt;&lt;&lt;&gt;&gt;&gt; Feet per Second</v>
      </c>
      <c r="W101" t="s">
        <v>266</v>
      </c>
      <c r="X101" t="s">
        <v>268</v>
      </c>
      <c r="Y101">
        <v>3.2808400000000001E-2</v>
      </c>
    </row>
    <row r="102" spans="1:25">
      <c r="B102" s="287">
        <v>7.6800000000000007E-2</v>
      </c>
      <c r="D102" s="1">
        <v>1.95</v>
      </c>
      <c r="F102" s="279">
        <v>6.3E-3</v>
      </c>
      <c r="G102" s="280">
        <v>96</v>
      </c>
      <c r="I102" s="279">
        <v>1.4843999999999999</v>
      </c>
      <c r="J102" s="280" t="s">
        <v>946</v>
      </c>
      <c r="O102" s="279">
        <v>0.20669999999999999</v>
      </c>
      <c r="P102" s="281">
        <v>5.25</v>
      </c>
      <c r="Q102" s="279">
        <v>0.248</v>
      </c>
      <c r="R102" s="281">
        <v>6.3</v>
      </c>
      <c r="V102" t="str">
        <f t="shared" si="1"/>
        <v xml:space="preserve">Centimeters/Seconds  &lt;&lt;&lt;&gt;&gt;&gt; Feet/Minutes </v>
      </c>
      <c r="W102" t="s">
        <v>270</v>
      </c>
      <c r="X102" t="s">
        <v>271</v>
      </c>
      <c r="Y102">
        <v>1.1969000000000001</v>
      </c>
    </row>
    <row r="103" spans="1:25">
      <c r="A103" s="168" t="s">
        <v>201</v>
      </c>
      <c r="B103" s="287">
        <v>7.8100000000000003E-2</v>
      </c>
      <c r="F103" s="279">
        <v>6.7000000000000002E-3</v>
      </c>
      <c r="G103" s="280">
        <v>95</v>
      </c>
      <c r="I103" s="279">
        <v>1.4688000000000001</v>
      </c>
      <c r="J103" s="280" t="s">
        <v>944</v>
      </c>
      <c r="O103" s="279">
        <v>0.2087</v>
      </c>
      <c r="P103" s="281">
        <v>5.3</v>
      </c>
      <c r="Q103" s="279">
        <v>0.24610000000000001</v>
      </c>
      <c r="R103" s="281">
        <v>6.25</v>
      </c>
      <c r="V103" t="str">
        <f t="shared" si="1"/>
        <v xml:space="preserve">Centimeters/Seconds  &lt;&lt;&lt;&gt;&gt;&gt; Feet/Seconds </v>
      </c>
      <c r="W103" t="s">
        <v>270</v>
      </c>
      <c r="X103" t="s">
        <v>272</v>
      </c>
      <c r="Y103">
        <v>3.2809999999999999E-2</v>
      </c>
    </row>
    <row r="104" spans="1:25">
      <c r="B104" s="287">
        <v>7.85E-2</v>
      </c>
      <c r="C104" s="168">
        <v>47</v>
      </c>
      <c r="F104" s="279">
        <v>7.1000000000000004E-3</v>
      </c>
      <c r="G104" s="280">
        <v>94</v>
      </c>
      <c r="I104" s="279">
        <v>1.4531000000000001</v>
      </c>
      <c r="J104" s="280" t="s">
        <v>941</v>
      </c>
      <c r="O104" s="279">
        <v>0.21260000000000001</v>
      </c>
      <c r="P104" s="281">
        <v>5.4</v>
      </c>
      <c r="Q104" s="279">
        <v>0.24410000000000001</v>
      </c>
      <c r="R104" s="281">
        <v>6.2</v>
      </c>
      <c r="V104" t="str">
        <f t="shared" si="1"/>
        <v xml:space="preserve">Centimeters/Seconds  &lt;&lt;&lt;&gt;&gt;&gt; Kilometers/Hour </v>
      </c>
      <c r="W104" t="s">
        <v>270</v>
      </c>
      <c r="X104" t="s">
        <v>273</v>
      </c>
      <c r="Y104">
        <v>3.5999999999999997E-2</v>
      </c>
    </row>
    <row r="105" spans="1:25">
      <c r="B105" s="287">
        <v>7.8700000000000006E-2</v>
      </c>
      <c r="D105" s="1">
        <v>2</v>
      </c>
      <c r="F105" s="279">
        <v>7.4999999999999997E-3</v>
      </c>
      <c r="G105" s="280">
        <v>93</v>
      </c>
      <c r="I105" s="279">
        <v>1.4375</v>
      </c>
      <c r="J105" s="280" t="s">
        <v>936</v>
      </c>
      <c r="O105" s="279">
        <v>0.2165</v>
      </c>
      <c r="P105" s="281">
        <v>5.5</v>
      </c>
      <c r="Q105" s="279">
        <v>0.2402</v>
      </c>
      <c r="R105" s="281">
        <v>6.1</v>
      </c>
      <c r="V105" t="str">
        <f t="shared" si="1"/>
        <v xml:space="preserve">Centimeters/Seconds  &lt;&lt;&lt;&gt;&gt;&gt; Knots </v>
      </c>
      <c r="W105" t="s">
        <v>270</v>
      </c>
      <c r="X105" t="s">
        <v>274</v>
      </c>
      <c r="Y105">
        <v>0.1943</v>
      </c>
    </row>
    <row r="106" spans="1:25">
      <c r="B106" s="287">
        <v>8.0700000000000008E-2</v>
      </c>
      <c r="D106" s="1">
        <v>2.0499999999999998</v>
      </c>
      <c r="F106" s="279">
        <v>7.9000000000000008E-3</v>
      </c>
      <c r="G106" s="280">
        <v>92</v>
      </c>
      <c r="I106" s="279">
        <v>1.4218999999999999</v>
      </c>
      <c r="J106" s="280" t="s">
        <v>934</v>
      </c>
      <c r="O106" s="279">
        <v>0.2205</v>
      </c>
      <c r="P106" s="281">
        <v>5.6</v>
      </c>
      <c r="Q106" s="279">
        <v>0.23619999999999999</v>
      </c>
      <c r="R106" s="281">
        <v>6</v>
      </c>
      <c r="V106" t="str">
        <f t="shared" si="1"/>
        <v xml:space="preserve">Centimeters/Seconds  &lt;&lt;&lt;&gt;&gt;&gt; Meters/Minutes </v>
      </c>
      <c r="W106" t="s">
        <v>270</v>
      </c>
      <c r="X106" t="s">
        <v>275</v>
      </c>
      <c r="Y106">
        <v>0.6</v>
      </c>
    </row>
    <row r="107" spans="1:25">
      <c r="B107" s="287">
        <v>8.1000000000000003E-2</v>
      </c>
      <c r="C107" s="168">
        <v>46</v>
      </c>
      <c r="F107" s="279">
        <v>8.3000000000000001E-3</v>
      </c>
      <c r="G107" s="280">
        <v>91</v>
      </c>
      <c r="I107" s="279">
        <v>1.4061999999999999</v>
      </c>
      <c r="J107" s="280" t="s">
        <v>931</v>
      </c>
      <c r="O107" s="279">
        <v>0.22439999999999999</v>
      </c>
      <c r="P107" s="281">
        <v>5.7</v>
      </c>
      <c r="Q107" s="279">
        <v>0.23230000000000001</v>
      </c>
      <c r="R107" s="281">
        <v>5.9</v>
      </c>
      <c r="V107" t="str">
        <f t="shared" si="1"/>
        <v xml:space="preserve">Centimeters/Seconds  &lt;&lt;&lt;&gt;&gt;&gt; Miles/Hour </v>
      </c>
      <c r="W107" t="s">
        <v>270</v>
      </c>
      <c r="X107" t="s">
        <v>276</v>
      </c>
      <c r="Y107">
        <v>2.2370000000000001E-2</v>
      </c>
    </row>
    <row r="108" spans="1:25">
      <c r="B108" s="287">
        <v>8.2000000000000003E-2</v>
      </c>
      <c r="C108" s="168">
        <v>45</v>
      </c>
      <c r="F108" s="279">
        <v>8.6999999999999994E-3</v>
      </c>
      <c r="G108" s="280">
        <v>90</v>
      </c>
      <c r="I108" s="279">
        <v>1.3906000000000001</v>
      </c>
      <c r="J108" s="280" t="s">
        <v>928</v>
      </c>
      <c r="O108" s="279">
        <v>0.22639999999999999</v>
      </c>
      <c r="P108" s="281">
        <v>5.75</v>
      </c>
      <c r="Q108" s="279">
        <v>0.2283</v>
      </c>
      <c r="R108" s="281">
        <v>5.8</v>
      </c>
      <c r="V108" t="str">
        <f t="shared" si="1"/>
        <v xml:space="preserve">Centimeters/Seconds  &lt;&lt;&lt;&gt;&gt;&gt; Miles/Minutes </v>
      </c>
      <c r="W108" t="s">
        <v>270</v>
      </c>
      <c r="X108" t="s">
        <v>277</v>
      </c>
      <c r="Y108">
        <v>3.7280000000000001E-4</v>
      </c>
    </row>
    <row r="109" spans="1:25">
      <c r="B109" s="287">
        <v>8.270000000000001E-2</v>
      </c>
      <c r="D109" s="1">
        <v>2.1</v>
      </c>
      <c r="F109" s="279">
        <v>9.1000000000000004E-3</v>
      </c>
      <c r="G109" s="280">
        <v>89</v>
      </c>
      <c r="I109" s="279">
        <v>1.375</v>
      </c>
      <c r="J109" s="280" t="s">
        <v>925</v>
      </c>
      <c r="O109" s="279">
        <v>0.2283</v>
      </c>
      <c r="P109" s="281">
        <v>5.8</v>
      </c>
      <c r="Q109" s="279">
        <v>0.22639999999999999</v>
      </c>
      <c r="R109" s="281">
        <v>5.75</v>
      </c>
      <c r="V109" t="str">
        <f t="shared" si="1"/>
        <v xml:space="preserve">Centimeters/Seconds/Seconds  &lt;&lt;&lt;&gt;&gt;&gt; Feet/Seconds/Seconds </v>
      </c>
      <c r="W109" t="s">
        <v>278</v>
      </c>
      <c r="X109" t="s">
        <v>279</v>
      </c>
      <c r="Y109">
        <v>3.2809999999999999E-2</v>
      </c>
    </row>
    <row r="110" spans="1:25">
      <c r="B110" s="287">
        <v>8.4600000000000009E-2</v>
      </c>
      <c r="D110" s="1">
        <v>2.15</v>
      </c>
      <c r="F110" s="279">
        <v>9.4999999999999998E-3</v>
      </c>
      <c r="G110" s="280">
        <v>88</v>
      </c>
      <c r="I110" s="279">
        <v>1.3593999999999999</v>
      </c>
      <c r="J110" s="280" t="s">
        <v>923</v>
      </c>
      <c r="O110" s="279">
        <v>0.23230000000000001</v>
      </c>
      <c r="P110" s="281">
        <v>5.9</v>
      </c>
      <c r="Q110" s="279">
        <v>0.22439999999999999</v>
      </c>
      <c r="R110" s="281">
        <v>5.7</v>
      </c>
      <c r="V110" t="str">
        <f t="shared" si="1"/>
        <v xml:space="preserve">Centimeters/Seconds/Seconds  &lt;&lt;&lt;&gt;&gt;&gt; Kilometers/Hour/Seconds </v>
      </c>
      <c r="W110" t="s">
        <v>278</v>
      </c>
      <c r="X110" t="s">
        <v>280</v>
      </c>
      <c r="Y110">
        <v>3.5999999999999997E-2</v>
      </c>
    </row>
    <row r="111" spans="1:25">
      <c r="B111" s="287">
        <v>8.6000000000000007E-2</v>
      </c>
      <c r="C111" s="168">
        <v>44</v>
      </c>
      <c r="F111" s="279">
        <v>0.01</v>
      </c>
      <c r="G111" s="280">
        <v>87</v>
      </c>
      <c r="I111" s="279">
        <v>1.3438000000000001</v>
      </c>
      <c r="J111" s="280" t="s">
        <v>919</v>
      </c>
      <c r="O111" s="279">
        <v>0.23619999999999999</v>
      </c>
      <c r="P111" s="281">
        <v>6</v>
      </c>
      <c r="Q111" s="279">
        <v>0.2205</v>
      </c>
      <c r="R111" s="281">
        <v>5.6</v>
      </c>
      <c r="V111" t="str">
        <f t="shared" si="1"/>
        <v xml:space="preserve">Centimeters/Seconds/Seconds  &lt;&lt;&lt;&gt;&gt;&gt; meters/Seconds/Seconds </v>
      </c>
      <c r="W111" t="s">
        <v>278</v>
      </c>
      <c r="X111" t="s">
        <v>281</v>
      </c>
      <c r="Y111">
        <v>0.01</v>
      </c>
    </row>
    <row r="112" spans="1:25">
      <c r="B112" s="287">
        <v>8.660000000000001E-2</v>
      </c>
      <c r="D112" s="1">
        <v>2.2000000000000002</v>
      </c>
      <c r="F112" s="279">
        <v>1.0500000000000001E-2</v>
      </c>
      <c r="G112" s="280">
        <v>86</v>
      </c>
      <c r="I112" s="279">
        <v>1.3281000000000001</v>
      </c>
      <c r="J112" s="280" t="s">
        <v>224</v>
      </c>
      <c r="O112" s="279">
        <v>0.2402</v>
      </c>
      <c r="P112" s="281">
        <v>6.1</v>
      </c>
      <c r="Q112" s="279">
        <v>0.2165</v>
      </c>
      <c r="R112" s="281">
        <v>5.5</v>
      </c>
      <c r="V112" t="str">
        <f t="shared" si="1"/>
        <v xml:space="preserve">Centimeters/Seconds/Seconds  &lt;&lt;&lt;&gt;&gt;&gt; Miles/Hour/Seconds </v>
      </c>
      <c r="W112" t="s">
        <v>278</v>
      </c>
      <c r="X112" t="s">
        <v>282</v>
      </c>
      <c r="Y112">
        <v>2.2370000000000001E-2</v>
      </c>
    </row>
    <row r="113" spans="1:25">
      <c r="B113" s="287">
        <v>8.8599999999999998E-2</v>
      </c>
      <c r="D113" s="1">
        <v>2.25</v>
      </c>
      <c r="F113" s="279">
        <v>1.0999999999999999E-2</v>
      </c>
      <c r="G113" s="280">
        <v>85</v>
      </c>
      <c r="I113" s="279">
        <v>1.3125</v>
      </c>
      <c r="J113" s="280" t="s">
        <v>222</v>
      </c>
      <c r="O113" s="279">
        <v>0.24410000000000001</v>
      </c>
      <c r="P113" s="281">
        <v>6.2</v>
      </c>
      <c r="Q113" s="279">
        <v>0.21260000000000001</v>
      </c>
      <c r="R113" s="281">
        <v>5.4</v>
      </c>
      <c r="V113" t="str">
        <f t="shared" si="1"/>
        <v>Centimeters-Dynes &lt;&lt;&lt;&gt;&gt;&gt; Centimeter-Grams</v>
      </c>
      <c r="W113" t="s">
        <v>283</v>
      </c>
      <c r="X113" t="s">
        <v>284</v>
      </c>
      <c r="Y113">
        <v>1.0200000000000001E-3</v>
      </c>
    </row>
    <row r="114" spans="1:25">
      <c r="B114" s="287">
        <v>8.8999999999999996E-2</v>
      </c>
      <c r="C114" s="168">
        <v>43</v>
      </c>
      <c r="F114" s="279">
        <v>1.15E-2</v>
      </c>
      <c r="G114" s="280">
        <v>84</v>
      </c>
      <c r="I114" s="279">
        <v>1.2968999999999999</v>
      </c>
      <c r="J114" s="280" t="s">
        <v>219</v>
      </c>
      <c r="O114" s="279">
        <v>0.24610000000000001</v>
      </c>
      <c r="P114" s="281">
        <v>6.25</v>
      </c>
      <c r="Q114" s="279">
        <v>0.2087</v>
      </c>
      <c r="R114" s="281">
        <v>5.3</v>
      </c>
      <c r="V114" t="str">
        <f t="shared" si="1"/>
        <v>Chain &lt;&lt;&lt;&gt;&gt;&gt; Inches</v>
      </c>
      <c r="W114" t="s">
        <v>285</v>
      </c>
      <c r="X114" t="s">
        <v>56</v>
      </c>
      <c r="Y114">
        <v>792</v>
      </c>
    </row>
    <row r="115" spans="1:25">
      <c r="B115" s="287">
        <v>9.06E-2</v>
      </c>
      <c r="D115" s="1">
        <v>2.2999999999999998</v>
      </c>
      <c r="F115" s="279">
        <v>1.2E-2</v>
      </c>
      <c r="G115" s="280">
        <v>83</v>
      </c>
      <c r="I115" s="279">
        <v>1.2811999999999999</v>
      </c>
      <c r="J115" s="280" t="s">
        <v>217</v>
      </c>
      <c r="O115" s="279">
        <v>0.248</v>
      </c>
      <c r="P115" s="281">
        <v>6.3</v>
      </c>
      <c r="Q115" s="279">
        <v>0.20669999999999999</v>
      </c>
      <c r="R115" s="281">
        <v>5.25</v>
      </c>
      <c r="V115" t="str">
        <f t="shared" si="1"/>
        <v>Chain &lt;&lt;&lt;&gt;&gt;&gt; Meters</v>
      </c>
      <c r="W115" t="s">
        <v>285</v>
      </c>
      <c r="X115" t="s">
        <v>64</v>
      </c>
      <c r="Y115">
        <v>20.12</v>
      </c>
    </row>
    <row r="116" spans="1:25">
      <c r="B116" s="287">
        <v>9.2499999999999999E-2</v>
      </c>
      <c r="D116" s="1">
        <v>2.35</v>
      </c>
      <c r="F116" s="279">
        <v>1.2500000000000001E-2</v>
      </c>
      <c r="G116" s="280">
        <v>82</v>
      </c>
      <c r="I116" s="279">
        <v>1.2656000000000001</v>
      </c>
      <c r="J116" s="280" t="s">
        <v>213</v>
      </c>
      <c r="O116" s="279">
        <v>0.252</v>
      </c>
      <c r="P116" s="281">
        <v>6.4</v>
      </c>
      <c r="Q116" s="279">
        <v>0.20469999999999999</v>
      </c>
      <c r="R116" s="281">
        <v>5.2</v>
      </c>
      <c r="V116" t="str">
        <f t="shared" si="1"/>
        <v xml:space="preserve">Circular Mils  &lt;&lt;&lt;&gt;&gt;&gt; Square Centimeters </v>
      </c>
      <c r="W116" t="s">
        <v>286</v>
      </c>
      <c r="X116" t="s">
        <v>287</v>
      </c>
      <c r="Y116">
        <v>5.0699999999999997E-6</v>
      </c>
    </row>
    <row r="117" spans="1:25">
      <c r="B117" s="287">
        <v>9.35E-2</v>
      </c>
      <c r="C117" s="168">
        <v>42</v>
      </c>
      <c r="F117" s="279">
        <v>1.2999999999999999E-2</v>
      </c>
      <c r="G117" s="280">
        <v>81</v>
      </c>
      <c r="I117" s="279">
        <v>1.25</v>
      </c>
      <c r="J117" s="280" t="s">
        <v>210</v>
      </c>
      <c r="O117" s="279">
        <v>0.25590000000000002</v>
      </c>
      <c r="P117" s="281">
        <v>6.5</v>
      </c>
      <c r="Q117" s="279">
        <v>0.20080000000000001</v>
      </c>
      <c r="R117" s="281">
        <v>5.0999999999999996</v>
      </c>
      <c r="V117" t="str">
        <f t="shared" si="1"/>
        <v xml:space="preserve">Circular Mils  &lt;&lt;&lt;&gt;&gt;&gt; Square Inches </v>
      </c>
      <c r="W117" t="s">
        <v>286</v>
      </c>
      <c r="X117" t="s">
        <v>288</v>
      </c>
      <c r="Y117">
        <v>7.85E-7</v>
      </c>
    </row>
    <row r="118" spans="1:25">
      <c r="A118" s="168" t="s">
        <v>225</v>
      </c>
      <c r="B118" s="287">
        <v>9.3800000000000008E-2</v>
      </c>
      <c r="F118" s="279">
        <v>1.35E-2</v>
      </c>
      <c r="G118" s="280">
        <v>80</v>
      </c>
      <c r="I118" s="279">
        <v>1.2343999999999999</v>
      </c>
      <c r="J118" s="280" t="s">
        <v>208</v>
      </c>
      <c r="O118" s="279">
        <v>0.25979999999999998</v>
      </c>
      <c r="P118" s="281">
        <v>6.6</v>
      </c>
      <c r="Q118" s="279">
        <v>0.19689999999999999</v>
      </c>
      <c r="R118" s="281">
        <v>5</v>
      </c>
      <c r="V118" t="str">
        <f t="shared" si="1"/>
        <v xml:space="preserve">Circular Mils  &lt;&lt;&lt;&gt;&gt;&gt; Square Mils </v>
      </c>
      <c r="W118" t="s">
        <v>286</v>
      </c>
      <c r="X118" t="s">
        <v>289</v>
      </c>
      <c r="Y118">
        <v>0.78539999999999999</v>
      </c>
    </row>
    <row r="119" spans="1:25">
      <c r="B119" s="287">
        <v>9.4500000000000001E-2</v>
      </c>
      <c r="D119" s="1">
        <v>2.4</v>
      </c>
      <c r="F119" s="279">
        <v>1.4500000000000001E-2</v>
      </c>
      <c r="G119" s="280">
        <v>79</v>
      </c>
      <c r="I119" s="279">
        <v>1.2188000000000001</v>
      </c>
      <c r="J119" s="280" t="s">
        <v>205</v>
      </c>
      <c r="O119" s="279">
        <v>0.26379999999999998</v>
      </c>
      <c r="P119" s="281">
        <v>6.7</v>
      </c>
      <c r="Q119" s="279">
        <v>0.19289999999999999</v>
      </c>
      <c r="R119" s="281">
        <v>4.9000000000000004</v>
      </c>
      <c r="V119" t="str">
        <f t="shared" si="1"/>
        <v xml:space="preserve">Cord Feet  &lt;&lt;&lt;&gt;&gt;&gt; Cubic Feet </v>
      </c>
      <c r="W119" t="s">
        <v>290</v>
      </c>
      <c r="X119" t="s">
        <v>1093</v>
      </c>
      <c r="Y119">
        <v>16</v>
      </c>
    </row>
    <row r="120" spans="1:25">
      <c r="B120" s="287">
        <v>9.6000000000000002E-2</v>
      </c>
      <c r="C120" s="168">
        <v>41</v>
      </c>
      <c r="F120" s="279">
        <v>1.5599999999999999E-2</v>
      </c>
      <c r="G120" s="280" t="s">
        <v>953</v>
      </c>
      <c r="I120" s="279">
        <v>1.2031000000000001</v>
      </c>
      <c r="J120" s="280" t="s">
        <v>203</v>
      </c>
      <c r="O120" s="279">
        <v>0.26569999999999999</v>
      </c>
      <c r="P120" s="281">
        <v>6.75</v>
      </c>
      <c r="Q120" s="279">
        <v>0.189</v>
      </c>
      <c r="R120" s="281">
        <v>4.8</v>
      </c>
      <c r="V120" t="str">
        <f t="shared" si="1"/>
        <v xml:space="preserve">Cubic Centimeter  &lt;&lt;&lt;&gt;&gt;&gt; Cubic foot </v>
      </c>
      <c r="W120" t="s">
        <v>291</v>
      </c>
      <c r="X120" t="s">
        <v>292</v>
      </c>
      <c r="Y120">
        <v>3.5299999999999997E-5</v>
      </c>
    </row>
    <row r="121" spans="1:25">
      <c r="B121" s="287">
        <v>9.6500000000000002E-2</v>
      </c>
      <c r="D121" s="1">
        <v>2.4500000000000002</v>
      </c>
      <c r="F121" s="279">
        <v>1.6E-2</v>
      </c>
      <c r="G121" s="280">
        <v>78</v>
      </c>
      <c r="I121" s="279">
        <v>1.1875</v>
      </c>
      <c r="J121" s="280" t="s">
        <v>199</v>
      </c>
      <c r="O121" s="279">
        <v>0.26769999999999999</v>
      </c>
      <c r="P121" s="281">
        <v>6.8</v>
      </c>
      <c r="Q121" s="279">
        <v>0.187</v>
      </c>
      <c r="R121" s="281">
        <v>4.75</v>
      </c>
      <c r="V121" t="str">
        <f t="shared" si="1"/>
        <v xml:space="preserve">Cubic Centimeter  &lt;&lt;&lt;&gt;&gt;&gt; Cubic Inch </v>
      </c>
      <c r="W121" t="s">
        <v>291</v>
      </c>
      <c r="X121" t="s">
        <v>293</v>
      </c>
      <c r="Y121">
        <v>6.102374E-2</v>
      </c>
    </row>
    <row r="122" spans="1:25">
      <c r="B122" s="287">
        <v>9.8000000000000004E-2</v>
      </c>
      <c r="C122" s="168">
        <v>40</v>
      </c>
      <c r="F122" s="279">
        <v>1.7999999999999999E-2</v>
      </c>
      <c r="G122" s="280">
        <v>77</v>
      </c>
      <c r="I122" s="279">
        <v>1.1718999999999999</v>
      </c>
      <c r="J122" s="280" t="s">
        <v>195</v>
      </c>
      <c r="O122" s="279">
        <v>0.2717</v>
      </c>
      <c r="P122" s="281">
        <v>6.9</v>
      </c>
      <c r="Q122" s="279">
        <v>0.185</v>
      </c>
      <c r="R122" s="281">
        <v>4.7</v>
      </c>
      <c r="V122" t="str">
        <f t="shared" si="1"/>
        <v xml:space="preserve">Cubic Centimeter  &lt;&lt;&lt;&gt;&gt;&gt; Cubic Inches </v>
      </c>
      <c r="W122" t="s">
        <v>291</v>
      </c>
      <c r="X122" t="s">
        <v>237</v>
      </c>
      <c r="Y122">
        <v>6.1023760000000003E-2</v>
      </c>
    </row>
    <row r="123" spans="1:25">
      <c r="B123" s="287">
        <v>9.8400000000000001E-2</v>
      </c>
      <c r="D123" s="1">
        <v>2.5</v>
      </c>
      <c r="F123" s="279">
        <v>0.02</v>
      </c>
      <c r="G123" s="280">
        <v>76</v>
      </c>
      <c r="I123" s="279">
        <v>1.1561999999999999</v>
      </c>
      <c r="J123" s="280" t="s">
        <v>192</v>
      </c>
      <c r="O123" s="279">
        <v>0.27560000000000001</v>
      </c>
      <c r="P123" s="281">
        <v>7</v>
      </c>
      <c r="Q123" s="279">
        <v>0.18110000000000001</v>
      </c>
      <c r="R123" s="281">
        <v>4.5999999999999996</v>
      </c>
      <c r="V123" t="str">
        <f t="shared" si="1"/>
        <v xml:space="preserve">Cubic Centimeter  &lt;&lt;&lt;&gt;&gt;&gt; Cubic meter </v>
      </c>
      <c r="W123" t="s">
        <v>291</v>
      </c>
      <c r="X123" t="s">
        <v>294</v>
      </c>
      <c r="Y123">
        <v>9.9999999999999995E-7</v>
      </c>
    </row>
    <row r="124" spans="1:25">
      <c r="B124" s="287">
        <v>9.9500000000000005E-2</v>
      </c>
      <c r="C124" s="168">
        <v>39</v>
      </c>
      <c r="F124" s="279">
        <v>2.1000000000000001E-2</v>
      </c>
      <c r="G124" s="280">
        <v>75</v>
      </c>
      <c r="I124" s="279">
        <v>1.1406000000000001</v>
      </c>
      <c r="J124" s="280" t="s">
        <v>190</v>
      </c>
      <c r="O124" s="279">
        <v>0.27950000000000003</v>
      </c>
      <c r="P124" s="281">
        <v>7.1</v>
      </c>
      <c r="Q124" s="279">
        <v>0.1772</v>
      </c>
      <c r="R124" s="281">
        <v>4.5</v>
      </c>
      <c r="V124" t="str">
        <f t="shared" si="1"/>
        <v xml:space="preserve">Cubic Centimeter  &lt;&lt;&lt;&gt;&gt;&gt; Cubic millimeter </v>
      </c>
      <c r="W124" t="s">
        <v>291</v>
      </c>
      <c r="X124" t="s">
        <v>295</v>
      </c>
      <c r="Y124">
        <v>1000</v>
      </c>
    </row>
    <row r="125" spans="1:25">
      <c r="B125" s="287">
        <v>0.10150000000000001</v>
      </c>
      <c r="C125" s="168">
        <v>38</v>
      </c>
      <c r="F125" s="279">
        <v>2.2499999999999999E-2</v>
      </c>
      <c r="G125" s="280">
        <v>74</v>
      </c>
      <c r="I125" s="279">
        <v>1.125</v>
      </c>
      <c r="J125" s="280" t="s">
        <v>187</v>
      </c>
      <c r="O125" s="279">
        <v>0.28350000000000003</v>
      </c>
      <c r="P125" s="281">
        <v>7.2</v>
      </c>
      <c r="Q125" s="279">
        <v>0.17319999999999999</v>
      </c>
      <c r="R125" s="281">
        <v>4.4000000000000004</v>
      </c>
      <c r="V125" t="str">
        <f t="shared" si="1"/>
        <v xml:space="preserve">Cubic Centimeter  &lt;&lt;&lt;&gt;&gt;&gt; Cubic yard </v>
      </c>
      <c r="W125" t="s">
        <v>291</v>
      </c>
      <c r="X125" t="s">
        <v>296</v>
      </c>
      <c r="Y125">
        <v>1.31E-6</v>
      </c>
    </row>
    <row r="126" spans="1:25">
      <c r="B126" s="287">
        <v>0.1024</v>
      </c>
      <c r="D126" s="1">
        <v>2.6</v>
      </c>
      <c r="F126" s="279">
        <v>2.4E-2</v>
      </c>
      <c r="G126" s="280">
        <v>73</v>
      </c>
      <c r="I126" s="279">
        <v>1.1093999999999999</v>
      </c>
      <c r="J126" s="280" t="s">
        <v>184</v>
      </c>
      <c r="O126" s="279">
        <v>0.28539999999999999</v>
      </c>
      <c r="P126" s="281">
        <v>7.25</v>
      </c>
      <c r="Q126" s="279">
        <v>0.16930000000000001</v>
      </c>
      <c r="R126" s="281">
        <v>4.3</v>
      </c>
      <c r="V126" t="str">
        <f t="shared" si="1"/>
        <v xml:space="preserve">Cubic Centimeter  &lt;&lt;&lt;&gt;&gt;&gt; Drachm (Brit. fluid) </v>
      </c>
      <c r="W126" t="s">
        <v>291</v>
      </c>
      <c r="X126" t="s">
        <v>297</v>
      </c>
      <c r="Y126">
        <v>0.28156059999999999</v>
      </c>
    </row>
    <row r="127" spans="1:25">
      <c r="B127" s="287">
        <v>0.10400000000000001</v>
      </c>
      <c r="C127" s="168">
        <v>37</v>
      </c>
      <c r="F127" s="279">
        <v>2.5000000000000001E-2</v>
      </c>
      <c r="G127" s="280">
        <v>72</v>
      </c>
      <c r="I127" s="279">
        <v>1.0938000000000001</v>
      </c>
      <c r="J127" s="280" t="s">
        <v>181</v>
      </c>
      <c r="O127" s="279">
        <v>0.28739999999999999</v>
      </c>
      <c r="P127" s="281">
        <v>7.3</v>
      </c>
      <c r="Q127" s="279">
        <v>0.1673</v>
      </c>
      <c r="R127" s="281">
        <v>4.25</v>
      </c>
      <c r="V127" t="str">
        <f t="shared" si="1"/>
        <v xml:space="preserve">Cubic Centimeter  &lt;&lt;&lt;&gt;&gt;&gt; Dram (U.S. fluid) </v>
      </c>
      <c r="W127" t="s">
        <v>291</v>
      </c>
      <c r="X127" t="s">
        <v>298</v>
      </c>
      <c r="Y127">
        <v>0.27051219999999998</v>
      </c>
    </row>
    <row r="128" spans="1:25">
      <c r="B128" s="287">
        <v>0.10630000000000001</v>
      </c>
      <c r="D128" s="1">
        <v>2.7</v>
      </c>
      <c r="F128" s="279">
        <v>2.5999999999999999E-2</v>
      </c>
      <c r="G128" s="280">
        <v>71</v>
      </c>
      <c r="I128" s="279">
        <v>1.0781000000000001</v>
      </c>
      <c r="J128" s="280" t="s">
        <v>176</v>
      </c>
      <c r="O128" s="279">
        <v>0.2913</v>
      </c>
      <c r="P128" s="281">
        <v>7.4</v>
      </c>
      <c r="Q128" s="279">
        <v>0.16539999999999999</v>
      </c>
      <c r="R128" s="281">
        <v>4.2</v>
      </c>
      <c r="V128" t="str">
        <f t="shared" si="1"/>
        <v xml:space="preserve">Cubic Centimeter  &lt;&lt;&lt;&gt;&gt;&gt; Gallon (Brit liq.) </v>
      </c>
      <c r="W128" t="s">
        <v>291</v>
      </c>
      <c r="X128" t="s">
        <v>299</v>
      </c>
      <c r="Y128">
        <v>2.2000000000000001E-4</v>
      </c>
    </row>
    <row r="129" spans="1:25">
      <c r="B129" s="287">
        <v>0.1065</v>
      </c>
      <c r="C129" s="168">
        <v>36</v>
      </c>
      <c r="F129" s="279">
        <v>2.8000000000000001E-2</v>
      </c>
      <c r="G129" s="280">
        <v>70</v>
      </c>
      <c r="I129" s="279">
        <v>1.0625</v>
      </c>
      <c r="J129" s="280" t="s">
        <v>173</v>
      </c>
      <c r="O129" s="279">
        <v>0.29530000000000001</v>
      </c>
      <c r="P129" s="281">
        <v>7.5</v>
      </c>
      <c r="Q129" s="279">
        <v>0.16139999999999999</v>
      </c>
      <c r="R129" s="281">
        <v>4.0999999999999996</v>
      </c>
      <c r="V129" t="str">
        <f t="shared" si="1"/>
        <v xml:space="preserve">Cubic Centimeter  &lt;&lt;&lt;&gt;&gt;&gt; Gallon (US liq.) </v>
      </c>
      <c r="W129" t="s">
        <v>291</v>
      </c>
      <c r="X129" t="s">
        <v>300</v>
      </c>
      <c r="Y129">
        <v>2.6400000000000002E-4</v>
      </c>
    </row>
    <row r="130" spans="1:25">
      <c r="B130" s="287">
        <v>0.10829999999999999</v>
      </c>
      <c r="D130" s="1">
        <v>2.75</v>
      </c>
      <c r="F130" s="279">
        <v>2.92E-2</v>
      </c>
      <c r="G130" s="280">
        <v>69</v>
      </c>
      <c r="I130" s="279">
        <v>1.0468999999999999</v>
      </c>
      <c r="J130" s="280" t="s">
        <v>171</v>
      </c>
      <c r="O130" s="279">
        <v>0.29920000000000002</v>
      </c>
      <c r="P130" s="281">
        <v>7.6</v>
      </c>
      <c r="Q130" s="279">
        <v>0.1575</v>
      </c>
      <c r="R130" s="281">
        <v>4</v>
      </c>
      <c r="V130" t="str">
        <f t="shared" si="1"/>
        <v xml:space="preserve">Cubic Centimeter  &lt;&lt;&lt;&gt;&gt;&gt; Liter </v>
      </c>
      <c r="W130" t="s">
        <v>291</v>
      </c>
      <c r="X130" t="s">
        <v>301</v>
      </c>
      <c r="Y130">
        <v>1E-3</v>
      </c>
    </row>
    <row r="131" spans="1:25">
      <c r="A131" s="168" t="s">
        <v>937</v>
      </c>
      <c r="B131" s="287">
        <v>0.1094</v>
      </c>
      <c r="F131" s="279">
        <v>3.1E-2</v>
      </c>
      <c r="G131" s="280">
        <v>68</v>
      </c>
      <c r="I131" s="279">
        <v>1.0311999999999999</v>
      </c>
      <c r="J131" s="280" t="s">
        <v>168</v>
      </c>
      <c r="O131" s="279">
        <v>0.30309999999999998</v>
      </c>
      <c r="P131" s="281">
        <v>7.7</v>
      </c>
      <c r="Q131" s="279">
        <v>0.1535</v>
      </c>
      <c r="R131" s="281">
        <v>3.9</v>
      </c>
      <c r="V131" t="str">
        <f t="shared" ref="V131:V194" si="2">IF(W131="","",W131&amp;" &lt;&lt;&lt;&gt;&gt;&gt; "&amp;X131)</f>
        <v xml:space="preserve">Cubic Centimeter  &lt;&lt;&lt;&gt;&gt;&gt; Pint (US liq.) </v>
      </c>
      <c r="W131" t="s">
        <v>291</v>
      </c>
      <c r="X131" t="s">
        <v>302</v>
      </c>
      <c r="Y131">
        <v>2.1129999999999999E-3</v>
      </c>
    </row>
    <row r="132" spans="1:25">
      <c r="B132" s="287">
        <v>0.11</v>
      </c>
      <c r="C132" s="168">
        <v>35</v>
      </c>
      <c r="F132" s="279">
        <v>3.1199999999999999E-2</v>
      </c>
      <c r="G132" s="280" t="s">
        <v>954</v>
      </c>
      <c r="I132" s="279">
        <v>1.0156000000000001</v>
      </c>
      <c r="J132" s="280" t="s">
        <v>166</v>
      </c>
      <c r="O132" s="279">
        <v>0.30509999999999998</v>
      </c>
      <c r="P132" s="281">
        <v>7.75</v>
      </c>
      <c r="Q132" s="279">
        <v>0.14960000000000001</v>
      </c>
      <c r="R132" s="281">
        <v>3.8</v>
      </c>
      <c r="V132" t="str">
        <f t="shared" si="2"/>
        <v xml:space="preserve">Cubic Centimeter  &lt;&lt;&lt;&gt;&gt;&gt; Quart (US liq.) </v>
      </c>
      <c r="W132" t="s">
        <v>291</v>
      </c>
      <c r="X132" t="s">
        <v>303</v>
      </c>
      <c r="Y132">
        <v>1.057E-3</v>
      </c>
    </row>
    <row r="133" spans="1:25">
      <c r="B133" s="287">
        <v>0.11020000000000001</v>
      </c>
      <c r="D133" s="1">
        <v>2.8</v>
      </c>
      <c r="F133" s="279">
        <v>3.2000000000000001E-2</v>
      </c>
      <c r="G133" s="280">
        <v>67</v>
      </c>
      <c r="I133" s="279">
        <v>1</v>
      </c>
      <c r="J133" s="280" t="s">
        <v>163</v>
      </c>
      <c r="O133" s="279">
        <v>0.30709999999999998</v>
      </c>
      <c r="P133" s="281">
        <v>7.8</v>
      </c>
      <c r="Q133" s="279">
        <v>0.14760000000000001</v>
      </c>
      <c r="R133" s="281">
        <v>3.75</v>
      </c>
      <c r="V133" t="str">
        <f t="shared" si="2"/>
        <v xml:space="preserve">Cubic Feet  &lt;&lt;&lt;&gt;&gt;&gt; Bushels (dry) </v>
      </c>
      <c r="W133" t="s">
        <v>1093</v>
      </c>
      <c r="X133" t="s">
        <v>304</v>
      </c>
      <c r="Y133">
        <v>0.80359999999999998</v>
      </c>
    </row>
    <row r="134" spans="1:25">
      <c r="B134" s="287">
        <v>0.111</v>
      </c>
      <c r="C134" s="168">
        <v>34</v>
      </c>
      <c r="F134" s="279">
        <v>3.3000000000000002E-2</v>
      </c>
      <c r="G134" s="280">
        <v>66</v>
      </c>
      <c r="I134" s="279">
        <v>0.98440000000000005</v>
      </c>
      <c r="J134" s="280" t="s">
        <v>161</v>
      </c>
      <c r="O134" s="279">
        <v>0.311</v>
      </c>
      <c r="P134" s="281">
        <v>7.9</v>
      </c>
      <c r="Q134" s="279">
        <v>0.1457</v>
      </c>
      <c r="R134" s="281">
        <v>3.7</v>
      </c>
      <c r="V134" t="str">
        <f t="shared" si="2"/>
        <v xml:space="preserve">Cubic Feet  &lt;&lt;&lt;&gt;&gt;&gt; Cubic Centimeters </v>
      </c>
      <c r="W134" t="s">
        <v>1093</v>
      </c>
      <c r="X134" t="s">
        <v>305</v>
      </c>
      <c r="Y134">
        <v>28320</v>
      </c>
    </row>
    <row r="135" spans="1:25">
      <c r="B135" s="287">
        <v>0.113</v>
      </c>
      <c r="C135" s="168">
        <v>33</v>
      </c>
      <c r="F135" s="279">
        <v>3.5000000000000003E-2</v>
      </c>
      <c r="G135" s="280">
        <v>65</v>
      </c>
      <c r="I135" s="279">
        <v>0.96879999999999999</v>
      </c>
      <c r="J135" s="280" t="s">
        <v>156</v>
      </c>
      <c r="O135" s="279">
        <v>0.315</v>
      </c>
      <c r="P135" s="281">
        <v>8</v>
      </c>
      <c r="Q135" s="279">
        <v>0.14169999999999999</v>
      </c>
      <c r="R135" s="281">
        <v>3.6</v>
      </c>
      <c r="V135" t="str">
        <f t="shared" si="2"/>
        <v xml:space="preserve">Cubic Feet  &lt;&lt;&lt;&gt;&gt;&gt; Cubic Inches </v>
      </c>
      <c r="W135" t="s">
        <v>1093</v>
      </c>
      <c r="X135" t="s">
        <v>237</v>
      </c>
      <c r="Y135">
        <v>1728</v>
      </c>
    </row>
    <row r="136" spans="1:25">
      <c r="B136" s="287">
        <v>0.1142</v>
      </c>
      <c r="D136" s="1">
        <v>2.9</v>
      </c>
      <c r="F136" s="279">
        <v>3.5999999999999997E-2</v>
      </c>
      <c r="G136" s="280">
        <v>64</v>
      </c>
      <c r="I136" s="279">
        <v>0.95309999999999995</v>
      </c>
      <c r="J136" s="280" t="s">
        <v>153</v>
      </c>
      <c r="O136" s="279">
        <v>0.31890000000000002</v>
      </c>
      <c r="P136" s="281">
        <v>8.1</v>
      </c>
      <c r="Q136" s="279">
        <v>0.13780000000000001</v>
      </c>
      <c r="R136" s="281">
        <v>3.5</v>
      </c>
      <c r="V136" t="str">
        <f t="shared" si="2"/>
        <v xml:space="preserve">Cubic Feet  &lt;&lt;&lt;&gt;&gt;&gt; Cubic Meters </v>
      </c>
      <c r="W136" t="s">
        <v>1093</v>
      </c>
      <c r="X136" t="s">
        <v>238</v>
      </c>
      <c r="Y136">
        <v>2.8316850000000001E-2</v>
      </c>
    </row>
    <row r="137" spans="1:25">
      <c r="B137" s="287">
        <v>0.11600000000000001</v>
      </c>
      <c r="C137" s="168">
        <v>32</v>
      </c>
      <c r="F137" s="279">
        <v>3.6999999999999998E-2</v>
      </c>
      <c r="G137" s="280">
        <v>63</v>
      </c>
      <c r="I137" s="279">
        <v>0.9375</v>
      </c>
      <c r="J137" s="280" t="s">
        <v>151</v>
      </c>
      <c r="O137" s="279">
        <v>0.32279999999999998</v>
      </c>
      <c r="P137" s="281">
        <v>8.1999999999999993</v>
      </c>
      <c r="Q137" s="279">
        <v>0.13389999999999999</v>
      </c>
      <c r="R137" s="281">
        <v>3.4</v>
      </c>
      <c r="V137" t="str">
        <f t="shared" si="2"/>
        <v xml:space="preserve">Cubic Feet  &lt;&lt;&lt;&gt;&gt;&gt; Cubic Yards </v>
      </c>
      <c r="W137" t="s">
        <v>1093</v>
      </c>
      <c r="X137" t="s">
        <v>306</v>
      </c>
      <c r="Y137">
        <v>3.7037037000000002E-2</v>
      </c>
    </row>
    <row r="138" spans="1:25">
      <c r="B138" s="287">
        <v>0.1181</v>
      </c>
      <c r="D138" s="1">
        <v>3</v>
      </c>
      <c r="F138" s="279">
        <v>3.7999999999999999E-2</v>
      </c>
      <c r="G138" s="280">
        <v>62</v>
      </c>
      <c r="I138" s="279">
        <v>0.92190000000000005</v>
      </c>
      <c r="J138" s="280" t="s">
        <v>149</v>
      </c>
      <c r="O138" s="279">
        <v>0.32479999999999998</v>
      </c>
      <c r="P138" s="281">
        <v>8.25</v>
      </c>
      <c r="Q138" s="279">
        <v>0.12989999999999999</v>
      </c>
      <c r="R138" s="281">
        <v>3.3</v>
      </c>
      <c r="V138" t="str">
        <f t="shared" si="2"/>
        <v xml:space="preserve">Cubic Feet  &lt;&lt;&lt;&gt;&gt;&gt; Gallons (US liq.) </v>
      </c>
      <c r="W138" t="s">
        <v>1093</v>
      </c>
      <c r="X138" t="s">
        <v>307</v>
      </c>
      <c r="Y138">
        <v>7.4805200000000003</v>
      </c>
    </row>
    <row r="139" spans="1:25">
      <c r="B139" s="287">
        <v>0.12</v>
      </c>
      <c r="C139" s="168">
        <v>31</v>
      </c>
      <c r="F139" s="279">
        <v>3.9E-2</v>
      </c>
      <c r="G139" s="280">
        <v>61</v>
      </c>
      <c r="I139" s="279">
        <v>0.90620000000000001</v>
      </c>
      <c r="J139" s="280" t="s">
        <v>146</v>
      </c>
      <c r="O139" s="279">
        <v>0.32679999999999998</v>
      </c>
      <c r="P139" s="281">
        <v>8.3000000000000007</v>
      </c>
      <c r="Q139" s="279">
        <v>0.128</v>
      </c>
      <c r="R139" s="281">
        <v>3.25</v>
      </c>
      <c r="V139" t="str">
        <f t="shared" si="2"/>
        <v xml:space="preserve">Cubic Feet  &lt;&lt;&lt;&gt;&gt;&gt; Liters </v>
      </c>
      <c r="W139" t="s">
        <v>1093</v>
      </c>
      <c r="X139" t="s">
        <v>239</v>
      </c>
      <c r="Y139">
        <v>28.316849999999999</v>
      </c>
    </row>
    <row r="140" spans="1:25">
      <c r="B140" s="287">
        <v>0.122</v>
      </c>
      <c r="D140" s="1">
        <v>3.1</v>
      </c>
      <c r="F140" s="279">
        <v>0.04</v>
      </c>
      <c r="G140" s="280">
        <v>60</v>
      </c>
      <c r="I140" s="279">
        <v>0.89059999999999995</v>
      </c>
      <c r="J140" s="280" t="s">
        <v>950</v>
      </c>
      <c r="O140" s="279">
        <v>0.33069999999999999</v>
      </c>
      <c r="P140" s="281">
        <v>8.4</v>
      </c>
      <c r="Q140" s="279">
        <v>0.126</v>
      </c>
      <c r="R140" s="281">
        <v>3.2</v>
      </c>
      <c r="V140" t="str">
        <f t="shared" si="2"/>
        <v xml:space="preserve">Cubic Feet  &lt;&lt;&lt;&gt;&gt;&gt; Pints (US liq.) </v>
      </c>
      <c r="W140" t="s">
        <v>1093</v>
      </c>
      <c r="X140" t="s">
        <v>308</v>
      </c>
      <c r="Y140">
        <v>59.84</v>
      </c>
    </row>
    <row r="141" spans="1:25">
      <c r="A141" s="168" t="s">
        <v>147</v>
      </c>
      <c r="B141" s="287">
        <v>0.125</v>
      </c>
      <c r="F141" s="279">
        <v>4.1000000000000002E-2</v>
      </c>
      <c r="G141" s="280">
        <v>59</v>
      </c>
      <c r="I141" s="279">
        <v>0.875</v>
      </c>
      <c r="J141" s="280" t="s">
        <v>947</v>
      </c>
      <c r="O141" s="279">
        <v>0.33460000000000001</v>
      </c>
      <c r="P141" s="281">
        <v>8.5</v>
      </c>
      <c r="Q141" s="279">
        <v>0.122</v>
      </c>
      <c r="R141" s="281">
        <v>3.1</v>
      </c>
      <c r="V141" t="str">
        <f t="shared" si="2"/>
        <v xml:space="preserve">Cubic Feet  &lt;&lt;&lt;&gt;&gt;&gt; Quarts (US liq) </v>
      </c>
      <c r="W141" t="s">
        <v>1093</v>
      </c>
      <c r="X141" t="s">
        <v>309</v>
      </c>
      <c r="Y141">
        <v>29.92</v>
      </c>
    </row>
    <row r="142" spans="1:25">
      <c r="B142" s="287">
        <v>0.126</v>
      </c>
      <c r="D142" s="1">
        <v>3.2</v>
      </c>
      <c r="F142" s="279">
        <v>4.2000000000000003E-2</v>
      </c>
      <c r="G142" s="280">
        <v>58</v>
      </c>
      <c r="I142" s="279">
        <v>0.85940000000000005</v>
      </c>
      <c r="J142" s="280" t="s">
        <v>945</v>
      </c>
      <c r="O142" s="279">
        <v>0.33860000000000001</v>
      </c>
      <c r="P142" s="281">
        <v>8.6</v>
      </c>
      <c r="Q142" s="279">
        <v>0.1181</v>
      </c>
      <c r="R142" s="281">
        <v>3</v>
      </c>
      <c r="V142" t="str">
        <f t="shared" si="2"/>
        <v>Cubic Feet per Minute &lt;&lt;&lt;&gt;&gt;&gt; Cubic Meters per Second</v>
      </c>
      <c r="W142" t="s">
        <v>310</v>
      </c>
      <c r="X142" t="s">
        <v>311</v>
      </c>
      <c r="Y142">
        <v>4.7194739999999999E-4</v>
      </c>
    </row>
    <row r="143" spans="1:25">
      <c r="B143" s="287">
        <v>0.128</v>
      </c>
      <c r="D143" s="1">
        <v>3.25</v>
      </c>
      <c r="F143" s="279">
        <v>4.3000000000000003E-2</v>
      </c>
      <c r="G143" s="280">
        <v>57</v>
      </c>
      <c r="I143" s="279">
        <v>0.84379999999999999</v>
      </c>
      <c r="J143" s="280" t="s">
        <v>942</v>
      </c>
      <c r="O143" s="279">
        <v>0.34250000000000003</v>
      </c>
      <c r="P143" s="281">
        <v>8.6999999999999993</v>
      </c>
      <c r="Q143" s="279">
        <v>0.1142</v>
      </c>
      <c r="R143" s="281">
        <v>2.9</v>
      </c>
      <c r="V143" t="str">
        <f t="shared" si="2"/>
        <v>Cubic Feet per Minute &lt;&lt;&lt;&gt;&gt;&gt; Liters per Minute</v>
      </c>
      <c r="W143" t="s">
        <v>310</v>
      </c>
      <c r="X143" t="s">
        <v>312</v>
      </c>
      <c r="Y143">
        <v>28.316849999999999</v>
      </c>
    </row>
    <row r="144" spans="1:25">
      <c r="B144" s="287">
        <v>0.1285</v>
      </c>
      <c r="C144" s="168">
        <v>30</v>
      </c>
      <c r="F144" s="279">
        <v>4.65E-2</v>
      </c>
      <c r="G144" s="280">
        <v>56</v>
      </c>
      <c r="I144" s="279">
        <v>0.82809999999999995</v>
      </c>
      <c r="J144" s="280" t="s">
        <v>940</v>
      </c>
      <c r="O144" s="279">
        <v>0.34450000000000003</v>
      </c>
      <c r="P144" s="281">
        <v>8.75</v>
      </c>
      <c r="Q144" s="279">
        <v>0.11020000000000001</v>
      </c>
      <c r="R144" s="281">
        <v>2.8</v>
      </c>
      <c r="V144" t="str">
        <f t="shared" si="2"/>
        <v xml:space="preserve">Cubic Feet/Minute  &lt;&lt;&lt;&gt;&gt;&gt; Cubic cms/Second </v>
      </c>
      <c r="W144" t="s">
        <v>313</v>
      </c>
      <c r="X144" t="s">
        <v>314</v>
      </c>
      <c r="Y144">
        <v>472</v>
      </c>
    </row>
    <row r="145" spans="1:25">
      <c r="B145" s="287">
        <v>0.12989999999999999</v>
      </c>
      <c r="D145" s="1">
        <v>3.3</v>
      </c>
      <c r="F145" s="279">
        <v>4.6900000000000004E-2</v>
      </c>
      <c r="G145" s="280" t="s">
        <v>157</v>
      </c>
      <c r="I145" s="279">
        <v>0.8125</v>
      </c>
      <c r="J145" s="280" t="s">
        <v>935</v>
      </c>
      <c r="O145" s="279">
        <v>0.34650000000000003</v>
      </c>
      <c r="P145" s="281">
        <v>8.8000000000000007</v>
      </c>
      <c r="Q145" s="279">
        <v>0.10829999999999999</v>
      </c>
      <c r="R145" s="281">
        <v>2.75</v>
      </c>
      <c r="V145" t="str">
        <f t="shared" si="2"/>
        <v xml:space="preserve">Cubic Feet/Minute  &lt;&lt;&lt;&gt;&gt;&gt; Gallons/Second </v>
      </c>
      <c r="W145" t="s">
        <v>313</v>
      </c>
      <c r="X145" t="s">
        <v>315</v>
      </c>
      <c r="Y145">
        <v>0.12470000000000001</v>
      </c>
    </row>
    <row r="146" spans="1:25">
      <c r="B146" s="287">
        <v>0.13389999999999999</v>
      </c>
      <c r="D146" s="1">
        <v>3.4</v>
      </c>
      <c r="F146" s="279">
        <v>5.2000000000000005E-2</v>
      </c>
      <c r="G146" s="280">
        <v>55</v>
      </c>
      <c r="I146" s="279">
        <v>0.79690000000000005</v>
      </c>
      <c r="J146" s="280" t="s">
        <v>932</v>
      </c>
      <c r="O146" s="279">
        <v>0.35039999999999999</v>
      </c>
      <c r="P146" s="281">
        <v>8.9</v>
      </c>
      <c r="Q146" s="279">
        <v>0.10630000000000001</v>
      </c>
      <c r="R146" s="281">
        <v>2.7</v>
      </c>
      <c r="V146" t="str">
        <f t="shared" si="2"/>
        <v xml:space="preserve">Cubic Feet/Minute  &lt;&lt;&lt;&gt;&gt;&gt; Liters/Second </v>
      </c>
      <c r="W146" t="s">
        <v>313</v>
      </c>
      <c r="X146" t="s">
        <v>316</v>
      </c>
      <c r="Y146">
        <v>0.47199999999999998</v>
      </c>
    </row>
    <row r="147" spans="1:25">
      <c r="B147" s="287">
        <v>0.13600000000000001</v>
      </c>
      <c r="C147" s="168">
        <v>29</v>
      </c>
      <c r="F147" s="279">
        <v>5.5E-2</v>
      </c>
      <c r="G147" s="280">
        <v>54</v>
      </c>
      <c r="I147" s="279">
        <v>0.78120000000000001</v>
      </c>
      <c r="J147" s="280" t="s">
        <v>930</v>
      </c>
      <c r="O147" s="279">
        <v>0.3543</v>
      </c>
      <c r="P147" s="281">
        <v>9</v>
      </c>
      <c r="Q147" s="279">
        <v>0.1024</v>
      </c>
      <c r="R147" s="281">
        <v>2.6</v>
      </c>
      <c r="V147" t="str">
        <f t="shared" si="2"/>
        <v xml:space="preserve">Cubic Feet/Minute  &lt;&lt;&lt;&gt;&gt;&gt; Pounds of water/Minute </v>
      </c>
      <c r="W147" t="s">
        <v>313</v>
      </c>
      <c r="X147" t="s">
        <v>317</v>
      </c>
      <c r="Y147">
        <v>62.43</v>
      </c>
    </row>
    <row r="148" spans="1:25">
      <c r="B148" s="287">
        <v>0.13780000000000001</v>
      </c>
      <c r="D148" s="1">
        <v>3.5</v>
      </c>
      <c r="F148" s="279">
        <v>5.9500000000000004E-2</v>
      </c>
      <c r="G148" s="280">
        <v>53</v>
      </c>
      <c r="I148" s="279">
        <v>0.76559999999999995</v>
      </c>
      <c r="J148" s="280" t="s">
        <v>927</v>
      </c>
      <c r="O148" s="279">
        <v>0.35830000000000001</v>
      </c>
      <c r="P148" s="281">
        <v>9.1</v>
      </c>
      <c r="Q148" s="279">
        <v>9.8400000000000001E-2</v>
      </c>
      <c r="R148" s="281">
        <v>2.5</v>
      </c>
      <c r="V148" t="str">
        <f t="shared" si="2"/>
        <v xml:space="preserve">Cubic Feet/Second  &lt;&lt;&lt;&gt;&gt;&gt; Gallons/Minute </v>
      </c>
      <c r="W148" t="s">
        <v>318</v>
      </c>
      <c r="X148" t="s">
        <v>319</v>
      </c>
      <c r="Y148">
        <v>448.83100000000002</v>
      </c>
    </row>
    <row r="149" spans="1:25">
      <c r="B149" s="287">
        <v>0.14050000000000001</v>
      </c>
      <c r="C149" s="168">
        <v>28</v>
      </c>
      <c r="F149" s="279">
        <v>6.25E-2</v>
      </c>
      <c r="G149" s="280" t="s">
        <v>177</v>
      </c>
      <c r="I149" s="279">
        <v>0.75</v>
      </c>
      <c r="J149" s="280" t="s">
        <v>924</v>
      </c>
      <c r="O149" s="279">
        <v>0.36220000000000002</v>
      </c>
      <c r="P149" s="281">
        <v>9.1999999999999993</v>
      </c>
      <c r="Q149" s="279">
        <v>9.6500000000000002E-2</v>
      </c>
      <c r="R149" s="281">
        <v>2.4500000000000002</v>
      </c>
      <c r="V149" t="str">
        <f t="shared" si="2"/>
        <v xml:space="preserve">Cubic Feet/Second  &lt;&lt;&lt;&gt;&gt;&gt; Million Gallons/day </v>
      </c>
      <c r="W149" t="s">
        <v>318</v>
      </c>
      <c r="X149" t="s">
        <v>320</v>
      </c>
      <c r="Y149">
        <v>0.64631700000000003</v>
      </c>
    </row>
    <row r="150" spans="1:25">
      <c r="A150" s="168" t="s">
        <v>162</v>
      </c>
      <c r="B150" s="287">
        <v>0.1406</v>
      </c>
      <c r="F150" s="279">
        <v>6.3500000000000001E-2</v>
      </c>
      <c r="G150" s="280">
        <v>52</v>
      </c>
      <c r="I150" s="279">
        <v>0.73440000000000005</v>
      </c>
      <c r="J150" s="280" t="s">
        <v>921</v>
      </c>
      <c r="O150" s="279">
        <v>0.36420000000000002</v>
      </c>
      <c r="P150" s="281">
        <v>9.25</v>
      </c>
      <c r="Q150" s="279">
        <v>9.4500000000000001E-2</v>
      </c>
      <c r="R150" s="281">
        <v>2.4</v>
      </c>
      <c r="V150" t="str">
        <f t="shared" si="2"/>
        <v>Cubic Inches  &lt;&lt;&lt;&gt;&gt;&gt; Cubic Centimeters</v>
      </c>
      <c r="W150" t="s">
        <v>237</v>
      </c>
      <c r="X150" t="s">
        <v>321</v>
      </c>
      <c r="Y150">
        <v>16.387060000000002</v>
      </c>
    </row>
    <row r="151" spans="1:25">
      <c r="B151" s="287">
        <v>0.14169999999999999</v>
      </c>
      <c r="D151" s="1">
        <v>3.6</v>
      </c>
      <c r="F151" s="279">
        <v>6.7000000000000004E-2</v>
      </c>
      <c r="G151" s="280">
        <v>51</v>
      </c>
      <c r="I151" s="279">
        <v>0.71879999999999999</v>
      </c>
      <c r="J151" s="280" t="s">
        <v>918</v>
      </c>
      <c r="O151" s="279">
        <v>0.36609999999999998</v>
      </c>
      <c r="P151" s="281">
        <v>9.3000000000000007</v>
      </c>
      <c r="Q151" s="279">
        <v>9.2499999999999999E-2</v>
      </c>
      <c r="R151" s="281">
        <v>2.35</v>
      </c>
      <c r="V151" t="str">
        <f t="shared" si="2"/>
        <v xml:space="preserve">Cubic Inches  &lt;&lt;&lt;&gt;&gt;&gt; Cubic Centimeters </v>
      </c>
      <c r="W151" t="s">
        <v>237</v>
      </c>
      <c r="X151" t="s">
        <v>305</v>
      </c>
      <c r="Y151">
        <v>16.39</v>
      </c>
    </row>
    <row r="152" spans="1:25">
      <c r="B152" s="287">
        <v>0.14400000000000002</v>
      </c>
      <c r="C152" s="168">
        <v>27</v>
      </c>
      <c r="F152" s="279">
        <v>7.0000000000000007E-2</v>
      </c>
      <c r="G152" s="280">
        <v>50</v>
      </c>
      <c r="I152" s="279">
        <v>0.70309999999999995</v>
      </c>
      <c r="J152" s="280" t="s">
        <v>223</v>
      </c>
      <c r="O152" s="279">
        <v>0.37009999999999998</v>
      </c>
      <c r="P152" s="281">
        <v>9.4</v>
      </c>
      <c r="Q152" s="279">
        <v>9.06E-2</v>
      </c>
      <c r="R152" s="281">
        <v>2.2999999999999998</v>
      </c>
      <c r="V152" t="str">
        <f t="shared" si="2"/>
        <v xml:space="preserve">Cubic Inches  &lt;&lt;&lt;&gt;&gt;&gt; Cubic Feet </v>
      </c>
      <c r="W152" t="s">
        <v>237</v>
      </c>
      <c r="X152" t="s">
        <v>1093</v>
      </c>
      <c r="Y152">
        <v>5.7870000000000003E-4</v>
      </c>
    </row>
    <row r="153" spans="1:25">
      <c r="B153" s="287">
        <v>0.1457</v>
      </c>
      <c r="D153" s="1">
        <v>3.7</v>
      </c>
      <c r="F153" s="279">
        <v>7.2999999999999995E-2</v>
      </c>
      <c r="G153" s="280">
        <v>49</v>
      </c>
      <c r="I153" s="279">
        <v>0.6875</v>
      </c>
      <c r="J153" s="280" t="s">
        <v>220</v>
      </c>
      <c r="O153" s="279">
        <v>0.374</v>
      </c>
      <c r="P153" s="281">
        <v>9.5</v>
      </c>
      <c r="Q153" s="279">
        <v>8.8599999999999998E-2</v>
      </c>
      <c r="R153" s="281">
        <v>2.25</v>
      </c>
      <c r="V153" t="str">
        <f t="shared" si="2"/>
        <v xml:space="preserve">Cubic Inches  &lt;&lt;&lt;&gt;&gt;&gt; Cubic Meters </v>
      </c>
      <c r="W153" t="s">
        <v>237</v>
      </c>
      <c r="X153" t="s">
        <v>238</v>
      </c>
      <c r="Y153">
        <v>1.6387060000000002E-5</v>
      </c>
    </row>
    <row r="154" spans="1:25">
      <c r="B154" s="287">
        <v>0.14699999999999999</v>
      </c>
      <c r="C154" s="168">
        <v>26</v>
      </c>
      <c r="F154" s="279">
        <v>7.5999999999999998E-2</v>
      </c>
      <c r="G154" s="280">
        <v>48</v>
      </c>
      <c r="I154" s="279">
        <v>0.67190000000000005</v>
      </c>
      <c r="J154" s="280" t="s">
        <v>218</v>
      </c>
      <c r="O154" s="279">
        <v>0.378</v>
      </c>
      <c r="P154" s="281">
        <v>9.6</v>
      </c>
      <c r="Q154" s="279">
        <v>8.660000000000001E-2</v>
      </c>
      <c r="R154" s="281">
        <v>2.2000000000000002</v>
      </c>
      <c r="V154" t="str">
        <f t="shared" si="2"/>
        <v>Cubic Inches  &lt;&lt;&lt;&gt;&gt;&gt; Cubic Millimeters</v>
      </c>
      <c r="W154" t="s">
        <v>237</v>
      </c>
      <c r="X154" t="s">
        <v>322</v>
      </c>
      <c r="Y154">
        <v>16387.060000000001</v>
      </c>
    </row>
    <row r="155" spans="1:25">
      <c r="B155" s="287">
        <v>0.14760000000000001</v>
      </c>
      <c r="D155" s="1">
        <v>3.75</v>
      </c>
      <c r="F155" s="279">
        <v>7.8100000000000003E-2</v>
      </c>
      <c r="G155" s="280" t="s">
        <v>201</v>
      </c>
      <c r="I155" s="279">
        <v>0.65620000000000001</v>
      </c>
      <c r="J155" s="280" t="s">
        <v>215</v>
      </c>
      <c r="O155" s="279">
        <v>0.38190000000000002</v>
      </c>
      <c r="P155" s="281">
        <v>9.6999999999999993</v>
      </c>
      <c r="Q155" s="279">
        <v>8.4600000000000009E-2</v>
      </c>
      <c r="R155" s="281">
        <v>2.15</v>
      </c>
      <c r="V155" t="str">
        <f t="shared" si="2"/>
        <v xml:space="preserve">Cubic Inches  &lt;&lt;&lt;&gt;&gt;&gt; Cubic Yards </v>
      </c>
      <c r="W155" t="s">
        <v>237</v>
      </c>
      <c r="X155" t="s">
        <v>306</v>
      </c>
      <c r="Y155">
        <v>2.1399999999999998E-5</v>
      </c>
    </row>
    <row r="156" spans="1:25">
      <c r="B156" s="287">
        <v>0.14949999999999999</v>
      </c>
      <c r="C156" s="168">
        <v>25</v>
      </c>
      <c r="F156" s="279">
        <v>7.85E-2</v>
      </c>
      <c r="G156" s="280">
        <v>47</v>
      </c>
      <c r="I156" s="279">
        <v>0.64059999999999995</v>
      </c>
      <c r="J156" s="280" t="s">
        <v>211</v>
      </c>
      <c r="O156" s="279">
        <v>0.38390000000000002</v>
      </c>
      <c r="P156" s="281">
        <v>9.75</v>
      </c>
      <c r="Q156" s="279">
        <v>8.270000000000001E-2</v>
      </c>
      <c r="R156" s="281">
        <v>2.1</v>
      </c>
      <c r="V156" t="str">
        <f t="shared" si="2"/>
        <v xml:space="preserve">Cubic Inches  &lt;&lt;&lt;&gt;&gt;&gt; Gallons </v>
      </c>
      <c r="W156" t="s">
        <v>237</v>
      </c>
      <c r="X156" t="s">
        <v>1125</v>
      </c>
      <c r="Y156">
        <v>4.3290000000000004E-3</v>
      </c>
    </row>
    <row r="157" spans="1:25">
      <c r="B157" s="287">
        <v>0.14960000000000001</v>
      </c>
      <c r="D157" s="1">
        <v>3.8</v>
      </c>
      <c r="F157" s="279">
        <v>8.1000000000000003E-2</v>
      </c>
      <c r="G157" s="280">
        <v>46</v>
      </c>
      <c r="I157" s="279">
        <v>0.625</v>
      </c>
      <c r="J157" s="280" t="s">
        <v>209</v>
      </c>
      <c r="O157" s="279">
        <v>0.38579999999999998</v>
      </c>
      <c r="P157" s="281">
        <v>9.8000000000000007</v>
      </c>
      <c r="Q157" s="279">
        <v>8.0700000000000008E-2</v>
      </c>
      <c r="R157" s="281">
        <v>2.0499999999999998</v>
      </c>
      <c r="V157" t="str">
        <f t="shared" si="2"/>
        <v xml:space="preserve">Cubic Inches  &lt;&lt;&lt;&gt;&gt;&gt; Mil-Feet </v>
      </c>
      <c r="W157" t="s">
        <v>237</v>
      </c>
      <c r="X157" t="s">
        <v>323</v>
      </c>
      <c r="Y157">
        <v>106100</v>
      </c>
    </row>
    <row r="158" spans="1:25">
      <c r="B158" s="287">
        <v>0.152</v>
      </c>
      <c r="C158" s="168">
        <v>24</v>
      </c>
      <c r="F158" s="279">
        <v>8.2000000000000003E-2</v>
      </c>
      <c r="G158" s="280">
        <v>45</v>
      </c>
      <c r="I158" s="279">
        <v>0.60940000000000005</v>
      </c>
      <c r="J158" s="280" t="s">
        <v>207</v>
      </c>
      <c r="O158" s="279">
        <v>0.38979999999999998</v>
      </c>
      <c r="P158" s="281">
        <v>9.9</v>
      </c>
      <c r="Q158" s="279">
        <v>7.8700000000000006E-2</v>
      </c>
      <c r="R158" s="281">
        <v>2</v>
      </c>
      <c r="V158" t="str">
        <f t="shared" si="2"/>
        <v xml:space="preserve">Cubic Inches  &lt;&lt;&lt;&gt;&gt;&gt; Pints (US liq.) </v>
      </c>
      <c r="W158" t="s">
        <v>237</v>
      </c>
      <c r="X158" t="s">
        <v>308</v>
      </c>
      <c r="Y158">
        <v>3.4630000000000001E-2</v>
      </c>
    </row>
    <row r="159" spans="1:25">
      <c r="B159" s="287">
        <v>0.1535</v>
      </c>
      <c r="D159" s="1">
        <v>3.9</v>
      </c>
      <c r="F159" s="279">
        <v>8.6000000000000007E-2</v>
      </c>
      <c r="G159" s="280">
        <v>44</v>
      </c>
      <c r="I159" s="279">
        <v>0.59379999999999999</v>
      </c>
      <c r="J159" s="280" t="s">
        <v>204</v>
      </c>
      <c r="O159" s="279">
        <v>0.39369999999999999</v>
      </c>
      <c r="P159" s="281">
        <v>10</v>
      </c>
      <c r="Q159" s="279">
        <v>7.6800000000000007E-2</v>
      </c>
      <c r="R159" s="281">
        <v>1.95</v>
      </c>
      <c r="V159" t="str">
        <f t="shared" si="2"/>
        <v xml:space="preserve">Cubic Inches  &lt;&lt;&lt;&gt;&gt;&gt; Quarts (US liq.) </v>
      </c>
      <c r="W159" t="s">
        <v>237</v>
      </c>
      <c r="X159" t="s">
        <v>324</v>
      </c>
      <c r="Y159">
        <v>1.7319999999999999E-2</v>
      </c>
    </row>
    <row r="160" spans="1:25">
      <c r="B160" s="287">
        <v>0.154</v>
      </c>
      <c r="C160" s="168">
        <v>23</v>
      </c>
      <c r="F160" s="279">
        <v>8.8999999999999996E-2</v>
      </c>
      <c r="G160" s="280">
        <v>43</v>
      </c>
      <c r="I160" s="279">
        <v>0.57809999999999995</v>
      </c>
      <c r="J160" s="280" t="s">
        <v>200</v>
      </c>
      <c r="O160" s="279">
        <v>0.41339999999999999</v>
      </c>
      <c r="P160" s="281">
        <v>10.5</v>
      </c>
      <c r="Q160" s="279">
        <v>7.4800000000000005E-2</v>
      </c>
      <c r="R160" s="281">
        <v>1.9</v>
      </c>
      <c r="V160" t="str">
        <f t="shared" si="2"/>
        <v xml:space="preserve">Cubic Meters  &lt;&lt;&lt;&gt;&gt;&gt; Bushels (dry) </v>
      </c>
      <c r="W160" t="s">
        <v>238</v>
      </c>
      <c r="X160" t="s">
        <v>304</v>
      </c>
      <c r="Y160">
        <v>28.38</v>
      </c>
    </row>
    <row r="161" spans="1:25">
      <c r="A161" s="168" t="s">
        <v>179</v>
      </c>
      <c r="B161" s="287">
        <v>0.15620000000000001</v>
      </c>
      <c r="F161" s="279">
        <v>9.35E-2</v>
      </c>
      <c r="G161" s="280">
        <v>42</v>
      </c>
      <c r="I161" s="279">
        <v>0.5625</v>
      </c>
      <c r="J161" s="280" t="s">
        <v>196</v>
      </c>
      <c r="O161" s="279">
        <v>0.43309999999999998</v>
      </c>
      <c r="P161" s="281">
        <v>11</v>
      </c>
      <c r="Q161" s="279">
        <v>7.2800000000000004E-2</v>
      </c>
      <c r="R161" s="281">
        <v>1.85</v>
      </c>
      <c r="V161" t="str">
        <f t="shared" si="2"/>
        <v xml:space="preserve">Cubic Meters  &lt;&lt;&lt;&gt;&gt;&gt; Cubic Centimeters </v>
      </c>
      <c r="W161" t="s">
        <v>238</v>
      </c>
      <c r="X161" t="s">
        <v>305</v>
      </c>
      <c r="Y161">
        <v>1000000</v>
      </c>
    </row>
    <row r="162" spans="1:25">
      <c r="B162" s="287">
        <v>0.157</v>
      </c>
      <c r="C162" s="168">
        <v>22</v>
      </c>
      <c r="F162" s="279">
        <v>9.3800000000000008E-2</v>
      </c>
      <c r="G162" s="280" t="s">
        <v>225</v>
      </c>
      <c r="I162" s="279">
        <v>0.54690000000000005</v>
      </c>
      <c r="J162" s="280" t="s">
        <v>193</v>
      </c>
      <c r="O162" s="279">
        <v>0.45279999999999998</v>
      </c>
      <c r="P162" s="281">
        <v>11.5</v>
      </c>
      <c r="Q162" s="279">
        <v>7.0900000000000005E-2</v>
      </c>
      <c r="R162" s="281">
        <v>1.8</v>
      </c>
      <c r="V162" t="str">
        <f t="shared" si="2"/>
        <v xml:space="preserve">Cubic Meters  &lt;&lt;&lt;&gt;&gt;&gt; Cubic Feet </v>
      </c>
      <c r="W162" t="s">
        <v>238</v>
      </c>
      <c r="X162" t="s">
        <v>1093</v>
      </c>
      <c r="Y162">
        <v>35.314660000000003</v>
      </c>
    </row>
    <row r="163" spans="1:25">
      <c r="B163" s="287">
        <v>0.1575</v>
      </c>
      <c r="D163" s="1">
        <v>4</v>
      </c>
      <c r="F163" s="279">
        <v>9.6000000000000002E-2</v>
      </c>
      <c r="G163" s="280">
        <v>41</v>
      </c>
      <c r="I163" s="279">
        <v>0.53120000000000001</v>
      </c>
      <c r="J163" s="280" t="s">
        <v>191</v>
      </c>
      <c r="O163" s="279">
        <v>0.47239999999999999</v>
      </c>
      <c r="P163" s="281">
        <v>12</v>
      </c>
      <c r="Q163" s="279">
        <v>6.8900000000000003E-2</v>
      </c>
      <c r="R163" s="281">
        <v>1.75</v>
      </c>
      <c r="V163" t="str">
        <f t="shared" si="2"/>
        <v xml:space="preserve">Cubic Meters  &lt;&lt;&lt;&gt;&gt;&gt; Cubic Inches </v>
      </c>
      <c r="W163" t="s">
        <v>238</v>
      </c>
      <c r="X163" t="s">
        <v>237</v>
      </c>
      <c r="Y163">
        <v>61023.76</v>
      </c>
    </row>
    <row r="164" spans="1:25">
      <c r="B164" s="287">
        <v>0.159</v>
      </c>
      <c r="C164" s="168">
        <v>21</v>
      </c>
      <c r="F164" s="279">
        <v>9.8000000000000004E-2</v>
      </c>
      <c r="G164" s="280">
        <v>40</v>
      </c>
      <c r="I164" s="279">
        <v>0.51559999999999995</v>
      </c>
      <c r="J164" s="280" t="s">
        <v>189</v>
      </c>
      <c r="O164" s="279">
        <v>0.49209999999999998</v>
      </c>
      <c r="P164" s="281">
        <v>12.5</v>
      </c>
      <c r="Q164" s="279">
        <v>6.6900000000000001E-2</v>
      </c>
      <c r="R164" s="281">
        <v>1.7</v>
      </c>
      <c r="V164" t="str">
        <f t="shared" si="2"/>
        <v xml:space="preserve">Cubic Meters  &lt;&lt;&lt;&gt;&gt;&gt; Cubic Yards </v>
      </c>
      <c r="W164" t="s">
        <v>238</v>
      </c>
      <c r="X164" t="s">
        <v>306</v>
      </c>
      <c r="Y164">
        <v>1.3079510000000001</v>
      </c>
    </row>
    <row r="165" spans="1:25">
      <c r="B165" s="287">
        <v>0.161</v>
      </c>
      <c r="C165" s="168">
        <v>20</v>
      </c>
      <c r="F165" s="279">
        <v>9.9500000000000005E-2</v>
      </c>
      <c r="G165" s="280">
        <v>39</v>
      </c>
      <c r="I165" s="279">
        <v>0.5</v>
      </c>
      <c r="J165" s="280" t="s">
        <v>185</v>
      </c>
      <c r="O165" s="279">
        <v>0.51180000000000003</v>
      </c>
      <c r="P165" s="281">
        <v>13</v>
      </c>
      <c r="Q165" s="279">
        <v>6.5000000000000002E-2</v>
      </c>
      <c r="R165" s="281">
        <v>1.65</v>
      </c>
      <c r="V165" t="str">
        <f t="shared" si="2"/>
        <v>Cubic Meters  &lt;&lt;&lt;&gt;&gt;&gt; Gallon (U.K. liquid)</v>
      </c>
      <c r="W165" t="s">
        <v>238</v>
      </c>
      <c r="X165" t="s">
        <v>325</v>
      </c>
      <c r="Y165">
        <v>219.9692</v>
      </c>
    </row>
    <row r="166" spans="1:25">
      <c r="B166" s="287">
        <v>0.16139999999999999</v>
      </c>
      <c r="D166" s="1">
        <v>4.0999999999999996</v>
      </c>
      <c r="F166" s="279">
        <v>0.10150000000000001</v>
      </c>
      <c r="G166" s="280">
        <v>38</v>
      </c>
      <c r="I166" s="279">
        <v>0.4844</v>
      </c>
      <c r="J166" s="280" t="s">
        <v>182</v>
      </c>
      <c r="O166" s="279">
        <v>0.53149999999999997</v>
      </c>
      <c r="P166" s="281">
        <v>13.5</v>
      </c>
      <c r="Q166" s="279">
        <v>6.3E-2</v>
      </c>
      <c r="R166" s="281">
        <v>1.6</v>
      </c>
      <c r="V166" t="str">
        <f t="shared" si="2"/>
        <v xml:space="preserve">Cubic Meters  &lt;&lt;&lt;&gt;&gt;&gt; Gallons (US liq.) </v>
      </c>
      <c r="W166" t="s">
        <v>238</v>
      </c>
      <c r="X166" t="s">
        <v>307</v>
      </c>
      <c r="Y166">
        <v>264.17200000000003</v>
      </c>
    </row>
    <row r="167" spans="1:25">
      <c r="B167" s="287">
        <v>0.16539999999999999</v>
      </c>
      <c r="D167" s="1">
        <v>4.2</v>
      </c>
      <c r="F167" s="279">
        <v>0.10400000000000001</v>
      </c>
      <c r="G167" s="280">
        <v>37</v>
      </c>
      <c r="I167" s="279">
        <v>0.46879999999999999</v>
      </c>
      <c r="J167" s="280" t="s">
        <v>178</v>
      </c>
      <c r="O167" s="279">
        <v>0.55120000000000002</v>
      </c>
      <c r="P167" s="281">
        <v>14</v>
      </c>
      <c r="Q167" s="279">
        <v>6.1000000000000006E-2</v>
      </c>
      <c r="R167" s="281">
        <v>1.55</v>
      </c>
      <c r="V167" t="str">
        <f t="shared" si="2"/>
        <v xml:space="preserve">Cubic Meters  &lt;&lt;&lt;&gt;&gt;&gt; Liters </v>
      </c>
      <c r="W167" t="s">
        <v>238</v>
      </c>
      <c r="X167" t="s">
        <v>239</v>
      </c>
      <c r="Y167">
        <v>1000</v>
      </c>
    </row>
    <row r="168" spans="1:25">
      <c r="B168" s="287">
        <v>0.16600000000000001</v>
      </c>
      <c r="C168" s="168">
        <v>19</v>
      </c>
      <c r="F168" s="279">
        <v>0.1065</v>
      </c>
      <c r="G168" s="280">
        <v>36</v>
      </c>
      <c r="I168" s="279">
        <v>0.4531</v>
      </c>
      <c r="J168" s="280" t="s">
        <v>175</v>
      </c>
      <c r="O168" s="279">
        <v>0.57089999999999996</v>
      </c>
      <c r="P168" s="281">
        <v>14.5</v>
      </c>
      <c r="Q168" s="279">
        <v>5.91E-2</v>
      </c>
      <c r="R168" s="281">
        <v>1.5</v>
      </c>
      <c r="V168" t="str">
        <f t="shared" si="2"/>
        <v xml:space="preserve">Cubic Meters  &lt;&lt;&lt;&gt;&gt;&gt; Pints (US liq.) </v>
      </c>
      <c r="W168" t="s">
        <v>238</v>
      </c>
      <c r="X168" t="s">
        <v>308</v>
      </c>
      <c r="Y168">
        <v>2113.3760000000002</v>
      </c>
    </row>
    <row r="169" spans="1:25">
      <c r="B169" s="287">
        <v>0.1673</v>
      </c>
      <c r="D169" s="1">
        <v>4.25</v>
      </c>
      <c r="F169" s="279">
        <v>0.1094</v>
      </c>
      <c r="G169" s="280" t="s">
        <v>937</v>
      </c>
      <c r="I169" s="279">
        <v>0.4375</v>
      </c>
      <c r="J169" s="280" t="s">
        <v>172</v>
      </c>
      <c r="O169" s="279">
        <v>0.59060000000000001</v>
      </c>
      <c r="P169" s="281">
        <v>15</v>
      </c>
      <c r="Q169" s="279">
        <v>5.7100000000000005E-2</v>
      </c>
      <c r="R169" s="281">
        <v>1.45</v>
      </c>
      <c r="V169" t="str">
        <f t="shared" si="2"/>
        <v xml:space="preserve">Cubic Meters  &lt;&lt;&lt;&gt;&gt;&gt; Quarts (US liq.) </v>
      </c>
      <c r="W169" t="s">
        <v>238</v>
      </c>
      <c r="X169" t="s">
        <v>324</v>
      </c>
      <c r="Y169">
        <v>1056.6880000000001</v>
      </c>
    </row>
    <row r="170" spans="1:25">
      <c r="B170" s="287">
        <v>0.16930000000000001</v>
      </c>
      <c r="D170" s="1">
        <v>4.3</v>
      </c>
      <c r="F170" s="279">
        <v>0.11</v>
      </c>
      <c r="G170" s="280">
        <v>35</v>
      </c>
      <c r="I170" s="279">
        <v>0.4219</v>
      </c>
      <c r="J170" s="280" t="s">
        <v>169</v>
      </c>
      <c r="O170" s="279">
        <v>0.61019999999999996</v>
      </c>
      <c r="P170" s="281">
        <v>15.5</v>
      </c>
      <c r="Q170" s="279">
        <v>5.5100000000000003E-2</v>
      </c>
      <c r="R170" s="281">
        <v>1.4</v>
      </c>
      <c r="V170" t="str">
        <f t="shared" si="2"/>
        <v>Cubic Meters per Minute &lt;&lt;&lt;&gt;&gt;&gt; Gallons (U.K. liquid) per Minute</v>
      </c>
      <c r="W170" t="s">
        <v>326</v>
      </c>
      <c r="X170" t="s">
        <v>327</v>
      </c>
      <c r="Y170">
        <v>219.9692</v>
      </c>
    </row>
    <row r="171" spans="1:25">
      <c r="B171" s="287">
        <v>0.16950000000000001</v>
      </c>
      <c r="C171" s="168">
        <v>18</v>
      </c>
      <c r="F171" s="279">
        <v>0.111</v>
      </c>
      <c r="G171" s="280">
        <v>34</v>
      </c>
      <c r="I171" s="279">
        <v>0.41300000000000003</v>
      </c>
      <c r="J171" s="280" t="s">
        <v>102</v>
      </c>
      <c r="O171" s="279">
        <v>0.62990000000000002</v>
      </c>
      <c r="P171" s="281">
        <v>16</v>
      </c>
      <c r="Q171" s="279">
        <v>5.3100000000000001E-2</v>
      </c>
      <c r="R171" s="281">
        <v>1.35</v>
      </c>
      <c r="V171" t="str">
        <f t="shared" si="2"/>
        <v>Cubic Meters per Minute &lt;&lt;&lt;&gt;&gt;&gt; Gallons (U.S. liquid) per Minute</v>
      </c>
      <c r="W171" t="s">
        <v>326</v>
      </c>
      <c r="X171" t="s">
        <v>328</v>
      </c>
      <c r="Y171">
        <v>264.17200000000003</v>
      </c>
    </row>
    <row r="172" spans="1:25">
      <c r="A172" s="168" t="s">
        <v>197</v>
      </c>
      <c r="B172" s="287">
        <v>0.1719</v>
      </c>
      <c r="F172" s="279">
        <v>0.113</v>
      </c>
      <c r="G172" s="280">
        <v>33</v>
      </c>
      <c r="I172" s="279">
        <v>0.40620000000000001</v>
      </c>
      <c r="J172" s="280" t="s">
        <v>165</v>
      </c>
      <c r="O172" s="279">
        <v>0.64959999999999996</v>
      </c>
      <c r="P172" s="281">
        <v>16.5</v>
      </c>
      <c r="Q172" s="279">
        <v>5.1200000000000002E-2</v>
      </c>
      <c r="R172" s="281">
        <v>1.3</v>
      </c>
      <c r="V172" t="str">
        <f t="shared" si="2"/>
        <v>Cubic Meters per Second &lt;&lt;&lt;&gt;&gt;&gt; Cubic Feet per Minute</v>
      </c>
      <c r="W172" t="s">
        <v>311</v>
      </c>
      <c r="X172" t="s">
        <v>310</v>
      </c>
      <c r="Y172">
        <v>2118.88</v>
      </c>
    </row>
    <row r="173" spans="1:25">
      <c r="B173" s="287">
        <v>0.17300000000000001</v>
      </c>
      <c r="C173" s="168">
        <v>17</v>
      </c>
      <c r="F173" s="279">
        <v>0.11600000000000001</v>
      </c>
      <c r="G173" s="280">
        <v>32</v>
      </c>
      <c r="I173" s="279">
        <v>0.40400000000000003</v>
      </c>
      <c r="J173" s="280" t="s">
        <v>101</v>
      </c>
      <c r="O173" s="279">
        <v>0.66930000000000001</v>
      </c>
      <c r="P173" s="281">
        <v>17</v>
      </c>
      <c r="Q173" s="279">
        <v>4.9200000000000001E-2</v>
      </c>
      <c r="R173" s="281">
        <v>1.25</v>
      </c>
      <c r="V173" t="str">
        <f t="shared" si="2"/>
        <v>Cubic Meters per Second &lt;&lt;&lt;&gt;&gt;&gt; Gallons (U.K. liquid) per Minute</v>
      </c>
      <c r="W173" t="s">
        <v>311</v>
      </c>
      <c r="X173" t="s">
        <v>327</v>
      </c>
      <c r="Y173">
        <v>13198.15</v>
      </c>
    </row>
    <row r="174" spans="1:25">
      <c r="B174" s="287">
        <v>0.17319999999999999</v>
      </c>
      <c r="D174" s="1">
        <v>4.4000000000000004</v>
      </c>
      <c r="F174" s="279">
        <v>0.12</v>
      </c>
      <c r="G174" s="280">
        <v>31</v>
      </c>
      <c r="I174" s="279">
        <v>0.39700000000000002</v>
      </c>
      <c r="J174" s="280" t="s">
        <v>120</v>
      </c>
      <c r="O174" s="279">
        <v>0.68900000000000006</v>
      </c>
      <c r="P174" s="281">
        <v>17.5</v>
      </c>
      <c r="Q174" s="279">
        <v>4.7199999999999999E-2</v>
      </c>
      <c r="R174" s="281">
        <v>1.2</v>
      </c>
      <c r="V174" t="str">
        <f t="shared" si="2"/>
        <v>Cubic Meters per Second &lt;&lt;&lt;&gt;&gt;&gt; Gallons (U.S. liquid) per Minute</v>
      </c>
      <c r="W174" t="s">
        <v>311</v>
      </c>
      <c r="X174" t="s">
        <v>328</v>
      </c>
      <c r="Y174">
        <v>15850.32</v>
      </c>
    </row>
    <row r="175" spans="1:25">
      <c r="B175" s="287">
        <v>0.17699999999999999</v>
      </c>
      <c r="C175" s="168">
        <v>16</v>
      </c>
      <c r="F175" s="279">
        <v>0.125</v>
      </c>
      <c r="G175" s="280" t="s">
        <v>147</v>
      </c>
      <c r="I175" s="279">
        <v>0.3906</v>
      </c>
      <c r="J175" s="280" t="s">
        <v>158</v>
      </c>
      <c r="O175" s="279">
        <v>0.7087</v>
      </c>
      <c r="P175" s="281">
        <v>18</v>
      </c>
      <c r="Q175" s="279">
        <v>4.53E-2</v>
      </c>
      <c r="R175" s="281">
        <v>1.1499999999999999</v>
      </c>
      <c r="V175" t="str">
        <f t="shared" si="2"/>
        <v xml:space="preserve">Cubic Yards  &lt;&lt;&lt;&gt;&gt;&gt; Cubic Centimeters </v>
      </c>
      <c r="W175" t="s">
        <v>306</v>
      </c>
      <c r="X175" t="s">
        <v>305</v>
      </c>
      <c r="Y175">
        <v>764600</v>
      </c>
    </row>
    <row r="176" spans="1:25">
      <c r="B176" s="287">
        <v>0.1772</v>
      </c>
      <c r="D176" s="1">
        <v>4.5</v>
      </c>
      <c r="F176" s="279">
        <v>0.1285</v>
      </c>
      <c r="G176" s="280">
        <v>30</v>
      </c>
      <c r="I176" s="279">
        <v>0.38600000000000001</v>
      </c>
      <c r="J176" s="280" t="s">
        <v>155</v>
      </c>
      <c r="O176" s="279">
        <v>0.72829999999999995</v>
      </c>
      <c r="P176" s="281">
        <v>18.5</v>
      </c>
      <c r="Q176" s="279">
        <v>4.3300000000000005E-2</v>
      </c>
      <c r="R176" s="281">
        <v>1.1000000000000001</v>
      </c>
      <c r="V176" t="str">
        <f t="shared" si="2"/>
        <v xml:space="preserve">Cubic Yards  &lt;&lt;&lt;&gt;&gt;&gt; Cubic Feet </v>
      </c>
      <c r="W176" t="s">
        <v>306</v>
      </c>
      <c r="X176" t="s">
        <v>1093</v>
      </c>
      <c r="Y176">
        <v>27</v>
      </c>
    </row>
    <row r="177" spans="1:25">
      <c r="B177" s="287">
        <v>0.18</v>
      </c>
      <c r="C177" s="168">
        <v>15</v>
      </c>
      <c r="F177" s="279">
        <v>0.13600000000000001</v>
      </c>
      <c r="G177" s="280">
        <v>29</v>
      </c>
      <c r="I177" s="279">
        <v>0.377</v>
      </c>
      <c r="J177" s="280" t="s">
        <v>148</v>
      </c>
      <c r="O177" s="279">
        <v>0.748</v>
      </c>
      <c r="P177" s="281">
        <v>19</v>
      </c>
      <c r="Q177" s="279">
        <v>4.1300000000000003E-2</v>
      </c>
      <c r="R177" s="281">
        <v>1.05</v>
      </c>
      <c r="V177" t="str">
        <f t="shared" si="2"/>
        <v xml:space="preserve">Cubic Yards  &lt;&lt;&lt;&gt;&gt;&gt; Cubic Inches </v>
      </c>
      <c r="W177" t="s">
        <v>306</v>
      </c>
      <c r="X177" t="s">
        <v>237</v>
      </c>
      <c r="Y177">
        <v>46656</v>
      </c>
    </row>
    <row r="178" spans="1:25">
      <c r="B178" s="287">
        <v>0.18110000000000001</v>
      </c>
      <c r="D178" s="1">
        <v>4.5999999999999996</v>
      </c>
      <c r="F178" s="279">
        <v>0.14050000000000001</v>
      </c>
      <c r="G178" s="280">
        <v>28</v>
      </c>
      <c r="I178" s="279">
        <v>0.375</v>
      </c>
      <c r="J178" s="280" t="s">
        <v>145</v>
      </c>
      <c r="O178" s="279">
        <v>0.76770000000000005</v>
      </c>
      <c r="P178" s="281">
        <v>19.5</v>
      </c>
      <c r="Q178" s="279">
        <v>3.9399999999999998E-2</v>
      </c>
      <c r="R178" s="281">
        <v>1</v>
      </c>
      <c r="V178" t="str">
        <f t="shared" si="2"/>
        <v xml:space="preserve">Cubic Yards  &lt;&lt;&lt;&gt;&gt;&gt; Cubic Meters </v>
      </c>
      <c r="W178" t="s">
        <v>306</v>
      </c>
      <c r="X178" t="s">
        <v>238</v>
      </c>
      <c r="Y178">
        <v>0.76459999999999995</v>
      </c>
    </row>
    <row r="179" spans="1:25">
      <c r="B179" s="287">
        <v>0.182</v>
      </c>
      <c r="C179" s="168">
        <v>14</v>
      </c>
      <c r="F179" s="279">
        <v>0.1406</v>
      </c>
      <c r="G179" s="280" t="s">
        <v>162</v>
      </c>
      <c r="I179" s="279">
        <v>0.36799999999999999</v>
      </c>
      <c r="J179" s="280" t="s">
        <v>948</v>
      </c>
      <c r="O179" s="279">
        <v>0.78739999999999999</v>
      </c>
      <c r="P179" s="281">
        <v>20</v>
      </c>
      <c r="Q179" s="279">
        <v>3.7400000000000003E-2</v>
      </c>
      <c r="R179" s="281">
        <v>0.95</v>
      </c>
      <c r="V179" t="str">
        <f t="shared" si="2"/>
        <v xml:space="preserve">Cubic Yards  &lt;&lt;&lt;&gt;&gt;&gt; Gallons (US liq.) </v>
      </c>
      <c r="W179" t="s">
        <v>306</v>
      </c>
      <c r="X179" t="s">
        <v>307</v>
      </c>
      <c r="Y179">
        <v>202</v>
      </c>
    </row>
    <row r="180" spans="1:25">
      <c r="B180" s="287">
        <v>0.185</v>
      </c>
      <c r="C180" s="168">
        <v>13</v>
      </c>
      <c r="D180" s="1">
        <v>4.7</v>
      </c>
      <c r="F180" s="279">
        <v>0.14400000000000002</v>
      </c>
      <c r="G180" s="280">
        <v>27</v>
      </c>
      <c r="I180" s="279">
        <v>0.3594</v>
      </c>
      <c r="J180" s="280" t="s">
        <v>943</v>
      </c>
      <c r="O180" s="279">
        <v>0.80710000000000004</v>
      </c>
      <c r="P180" s="281">
        <v>20.5</v>
      </c>
      <c r="Q180" s="279">
        <v>3.5400000000000001E-2</v>
      </c>
      <c r="R180" s="281">
        <v>0.9</v>
      </c>
      <c r="V180" t="str">
        <f t="shared" si="2"/>
        <v xml:space="preserve">Cubic Yards  &lt;&lt;&lt;&gt;&gt;&gt; Liters </v>
      </c>
      <c r="W180" t="s">
        <v>306</v>
      </c>
      <c r="X180" t="s">
        <v>239</v>
      </c>
      <c r="Y180">
        <v>764.6</v>
      </c>
    </row>
    <row r="181" spans="1:25">
      <c r="B181" s="287">
        <v>0.187</v>
      </c>
      <c r="D181" s="1">
        <v>4.75</v>
      </c>
      <c r="F181" s="279">
        <v>0.14699999999999999</v>
      </c>
      <c r="G181" s="280">
        <v>26</v>
      </c>
      <c r="I181" s="279">
        <v>0.35799999999999998</v>
      </c>
      <c r="J181" s="280" t="s">
        <v>939</v>
      </c>
      <c r="O181" s="279">
        <v>0.82679999999999998</v>
      </c>
      <c r="P181" s="281">
        <v>21</v>
      </c>
      <c r="Q181" s="279">
        <v>3.3500000000000002E-2</v>
      </c>
      <c r="R181" s="281">
        <v>0.85</v>
      </c>
      <c r="V181" t="str">
        <f t="shared" si="2"/>
        <v xml:space="preserve">Cubic Yards  &lt;&lt;&lt;&gt;&gt;&gt; Pints (US liq.) </v>
      </c>
      <c r="W181" t="s">
        <v>306</v>
      </c>
      <c r="X181" t="s">
        <v>308</v>
      </c>
      <c r="Y181">
        <v>1615.9</v>
      </c>
    </row>
    <row r="182" spans="1:25">
      <c r="A182" s="168" t="s">
        <v>214</v>
      </c>
      <c r="B182" s="287">
        <v>0.1875</v>
      </c>
      <c r="F182" s="279">
        <v>0.14949999999999999</v>
      </c>
      <c r="G182" s="280">
        <v>25</v>
      </c>
      <c r="I182" s="279">
        <v>0.34800000000000003</v>
      </c>
      <c r="J182" s="280" t="s">
        <v>933</v>
      </c>
      <c r="O182" s="279">
        <v>0.84650000000000003</v>
      </c>
      <c r="P182" s="281">
        <v>21.5</v>
      </c>
      <c r="Q182" s="279">
        <v>3.15E-2</v>
      </c>
      <c r="R182" s="281">
        <v>0.8</v>
      </c>
      <c r="V182" t="str">
        <f t="shared" si="2"/>
        <v xml:space="preserve">Cubic Yards  &lt;&lt;&lt;&gt;&gt;&gt; Quarts (US liq.) </v>
      </c>
      <c r="W182" t="s">
        <v>306</v>
      </c>
      <c r="X182" t="s">
        <v>324</v>
      </c>
      <c r="Y182">
        <v>807.9</v>
      </c>
    </row>
    <row r="183" spans="1:25">
      <c r="B183" s="287">
        <v>0.189</v>
      </c>
      <c r="C183" s="168">
        <v>12</v>
      </c>
      <c r="D183" s="1">
        <v>4.8</v>
      </c>
      <c r="F183" s="279">
        <v>0.152</v>
      </c>
      <c r="G183" s="280">
        <v>24</v>
      </c>
      <c r="I183" s="279">
        <v>0.34379999999999999</v>
      </c>
      <c r="J183" s="280" t="s">
        <v>929</v>
      </c>
      <c r="O183" s="279">
        <v>0.86609999999999998</v>
      </c>
      <c r="P183" s="281">
        <v>22</v>
      </c>
      <c r="Q183" s="279">
        <v>2.9499999999999998E-2</v>
      </c>
      <c r="R183" s="281">
        <v>0.75</v>
      </c>
      <c r="V183" t="str">
        <f t="shared" si="2"/>
        <v xml:space="preserve">Cubic Yards/Minute  &lt;&lt;&lt;&gt;&gt;&gt; Gallons/Second </v>
      </c>
      <c r="W183" t="s">
        <v>329</v>
      </c>
      <c r="X183" t="s">
        <v>315</v>
      </c>
      <c r="Y183">
        <v>3.367</v>
      </c>
    </row>
    <row r="184" spans="1:25">
      <c r="B184" s="287">
        <v>0.191</v>
      </c>
      <c r="C184" s="168">
        <v>11</v>
      </c>
      <c r="F184" s="279">
        <v>0.154</v>
      </c>
      <c r="G184" s="280">
        <v>23</v>
      </c>
      <c r="I184" s="279">
        <v>0.33900000000000002</v>
      </c>
      <c r="J184" s="280" t="s">
        <v>926</v>
      </c>
      <c r="O184" s="279">
        <v>0.88580000000000003</v>
      </c>
      <c r="P184" s="281">
        <v>22.5</v>
      </c>
      <c r="Q184" s="279">
        <v>2.76E-2</v>
      </c>
      <c r="R184" s="281">
        <v>0.7</v>
      </c>
      <c r="V184" t="str">
        <f t="shared" si="2"/>
        <v xml:space="preserve">Cubic Yards/Minute  &lt;&lt;&lt;&gt;&gt;&gt; Liters/Second </v>
      </c>
      <c r="W184" t="s">
        <v>329</v>
      </c>
      <c r="X184" t="s">
        <v>316</v>
      </c>
      <c r="Y184">
        <v>12.74</v>
      </c>
    </row>
    <row r="185" spans="1:25">
      <c r="B185" s="287">
        <v>0.19289999999999999</v>
      </c>
      <c r="D185" s="1">
        <v>4.9000000000000004</v>
      </c>
      <c r="F185" s="279">
        <v>0.15620000000000001</v>
      </c>
      <c r="G185" s="280" t="s">
        <v>179</v>
      </c>
      <c r="I185" s="279">
        <v>0.33200000000000002</v>
      </c>
      <c r="J185" s="280" t="s">
        <v>920</v>
      </c>
      <c r="O185" s="279">
        <v>0.90549999999999997</v>
      </c>
      <c r="P185" s="281">
        <v>23</v>
      </c>
      <c r="Q185" s="279">
        <v>2.5600000000000001E-2</v>
      </c>
      <c r="R185" s="281">
        <v>0.65</v>
      </c>
      <c r="V185" t="str">
        <f t="shared" si="2"/>
        <v xml:space="preserve">Cubic Yards/Minutes  &lt;&lt;&lt;&gt;&gt;&gt; Cubic Feet/Seconds </v>
      </c>
      <c r="W185" t="s">
        <v>330</v>
      </c>
      <c r="X185" t="s">
        <v>331</v>
      </c>
      <c r="Y185">
        <v>0.45</v>
      </c>
    </row>
    <row r="186" spans="1:25">
      <c r="B186" s="287">
        <v>0.19350000000000001</v>
      </c>
      <c r="C186" s="168">
        <v>10</v>
      </c>
      <c r="F186" s="279">
        <v>0.157</v>
      </c>
      <c r="G186" s="280">
        <v>22</v>
      </c>
      <c r="I186" s="279">
        <v>0.3281</v>
      </c>
      <c r="J186" s="280" t="s">
        <v>226</v>
      </c>
      <c r="O186" s="279">
        <v>0.92520000000000002</v>
      </c>
      <c r="P186" s="281">
        <v>23.5</v>
      </c>
      <c r="Q186" s="279">
        <v>2.3599999999999999E-2</v>
      </c>
      <c r="R186" s="281">
        <v>0.6</v>
      </c>
      <c r="V186" t="str">
        <f t="shared" si="2"/>
        <v xml:space="preserve">Deciliters  &lt;&lt;&lt;&gt;&gt;&gt; Liters </v>
      </c>
      <c r="W186" t="s">
        <v>332</v>
      </c>
      <c r="X186" t="s">
        <v>239</v>
      </c>
      <c r="Y186">
        <v>0.1</v>
      </c>
    </row>
    <row r="187" spans="1:25">
      <c r="B187" s="287">
        <v>0.19600000000000001</v>
      </c>
      <c r="C187" s="168">
        <v>9</v>
      </c>
      <c r="F187" s="279">
        <v>0.159</v>
      </c>
      <c r="G187" s="280">
        <v>21</v>
      </c>
      <c r="I187" s="279">
        <v>0.32300000000000001</v>
      </c>
      <c r="J187" s="280" t="s">
        <v>221</v>
      </c>
      <c r="O187" s="279">
        <v>0.94489999999999996</v>
      </c>
      <c r="P187" s="281">
        <v>24</v>
      </c>
      <c r="Q187" s="279">
        <v>2.1700000000000001E-2</v>
      </c>
      <c r="R187" s="281">
        <v>0.55000000000000004</v>
      </c>
      <c r="V187" t="str">
        <f t="shared" si="2"/>
        <v>Decimeters &lt;&lt;&lt;&gt;&gt;&gt; Meters</v>
      </c>
      <c r="W187" t="s">
        <v>333</v>
      </c>
      <c r="X187" t="s">
        <v>64</v>
      </c>
      <c r="Y187">
        <v>0.1</v>
      </c>
    </row>
    <row r="188" spans="1:25">
      <c r="B188" s="287">
        <v>0.19689999999999999</v>
      </c>
      <c r="D188" s="1">
        <v>5</v>
      </c>
      <c r="F188" s="279">
        <v>0.161</v>
      </c>
      <c r="G188" s="280">
        <v>20</v>
      </c>
      <c r="I188" s="279">
        <v>0.316</v>
      </c>
      <c r="J188" s="280" t="s">
        <v>216</v>
      </c>
      <c r="O188" s="279">
        <v>0.96460000000000001</v>
      </c>
      <c r="P188" s="281">
        <v>24.5</v>
      </c>
      <c r="Q188" s="279">
        <v>1.9699999999999999E-2</v>
      </c>
      <c r="R188" s="281">
        <v>0.5</v>
      </c>
      <c r="V188" t="str">
        <f t="shared" si="2"/>
        <v xml:space="preserve">Degrees/Seconds  &lt;&lt;&lt;&gt;&gt;&gt; Revolutions/Minutes </v>
      </c>
      <c r="W188" t="s">
        <v>334</v>
      </c>
      <c r="X188" t="s">
        <v>335</v>
      </c>
      <c r="Y188">
        <v>0.16669999999999999</v>
      </c>
    </row>
    <row r="189" spans="1:25">
      <c r="B189" s="287">
        <v>0.19900000000000001</v>
      </c>
      <c r="C189" s="168">
        <v>8</v>
      </c>
      <c r="F189" s="279">
        <v>0.16600000000000001</v>
      </c>
      <c r="G189" s="280">
        <v>19</v>
      </c>
      <c r="I189" s="279">
        <v>0.3125</v>
      </c>
      <c r="J189" s="280" t="s">
        <v>212</v>
      </c>
      <c r="O189" s="279">
        <v>0.98429999999999995</v>
      </c>
      <c r="P189" s="281">
        <v>25</v>
      </c>
      <c r="Q189" s="279">
        <v>1.89E-2</v>
      </c>
      <c r="R189" s="281">
        <v>0.48</v>
      </c>
      <c r="V189" t="str">
        <f t="shared" si="2"/>
        <v xml:space="preserve">Degrees/Seconds  &lt;&lt;&lt;&gt;&gt;&gt; Revolutions/Seconds </v>
      </c>
      <c r="W189" t="s">
        <v>334</v>
      </c>
      <c r="X189" t="s">
        <v>336</v>
      </c>
      <c r="Y189">
        <v>2.7780000000000001E-3</v>
      </c>
    </row>
    <row r="190" spans="1:25">
      <c r="B190" s="287">
        <v>0.20080000000000001</v>
      </c>
      <c r="D190" s="1">
        <v>5.0999999999999996</v>
      </c>
      <c r="F190" s="279">
        <v>0.16950000000000001</v>
      </c>
      <c r="G190" s="280">
        <v>18</v>
      </c>
      <c r="I190" s="279">
        <v>0.30199999999999999</v>
      </c>
      <c r="J190" s="280" t="s">
        <v>206</v>
      </c>
      <c r="O190" s="279">
        <v>1.0039</v>
      </c>
      <c r="P190" s="281">
        <v>25.5</v>
      </c>
      <c r="Q190" s="279">
        <v>1.8100000000000002E-2</v>
      </c>
      <c r="R190" s="281">
        <v>0.46</v>
      </c>
      <c r="V190" t="str">
        <f t="shared" si="2"/>
        <v xml:space="preserve">Dekagrams  &lt;&lt;&lt;&gt;&gt;&gt; Grams </v>
      </c>
      <c r="W190" t="s">
        <v>337</v>
      </c>
      <c r="X190" t="s">
        <v>254</v>
      </c>
      <c r="Y190">
        <v>10</v>
      </c>
    </row>
    <row r="191" spans="1:25">
      <c r="B191" s="287">
        <v>0.20100000000000001</v>
      </c>
      <c r="C191" s="168">
        <v>7</v>
      </c>
      <c r="F191" s="279">
        <v>0.1719</v>
      </c>
      <c r="G191" s="280" t="s">
        <v>197</v>
      </c>
      <c r="I191" s="279">
        <v>0.2969</v>
      </c>
      <c r="J191" s="280" t="s">
        <v>202</v>
      </c>
      <c r="O191" s="279">
        <v>1.0236000000000001</v>
      </c>
      <c r="P191" s="281">
        <v>26</v>
      </c>
      <c r="Q191" s="279">
        <v>1.77E-2</v>
      </c>
      <c r="R191" s="281">
        <v>0.45</v>
      </c>
      <c r="V191" t="str">
        <f t="shared" si="2"/>
        <v xml:space="preserve">Dekaliters  &lt;&lt;&lt;&gt;&gt;&gt; Liters </v>
      </c>
      <c r="W191" t="s">
        <v>338</v>
      </c>
      <c r="X191" t="s">
        <v>239</v>
      </c>
      <c r="Y191">
        <v>10</v>
      </c>
    </row>
    <row r="192" spans="1:25">
      <c r="A192" s="168" t="s">
        <v>922</v>
      </c>
      <c r="B192" s="287">
        <v>0.2031</v>
      </c>
      <c r="F192" s="279">
        <v>0.17300000000000001</v>
      </c>
      <c r="G192" s="280">
        <v>17</v>
      </c>
      <c r="I192" s="279">
        <v>0.29499999999999998</v>
      </c>
      <c r="J192" s="280" t="s">
        <v>198</v>
      </c>
      <c r="O192" s="279">
        <v>1.0432999999999999</v>
      </c>
      <c r="P192" s="281">
        <v>26.5</v>
      </c>
      <c r="Q192" s="279">
        <v>1.7299999999999999E-2</v>
      </c>
      <c r="R192" s="281">
        <v>0.44</v>
      </c>
      <c r="V192" t="str">
        <f t="shared" si="2"/>
        <v>Dekameters &lt;&lt;&lt;&gt;&gt;&gt; Meters</v>
      </c>
      <c r="W192" t="s">
        <v>339</v>
      </c>
      <c r="X192" t="s">
        <v>64</v>
      </c>
      <c r="Y192">
        <v>10</v>
      </c>
    </row>
    <row r="193" spans="1:25">
      <c r="B193" s="287">
        <v>0.20400000000000001</v>
      </c>
      <c r="C193" s="168">
        <v>6</v>
      </c>
      <c r="F193" s="279">
        <v>0.17699999999999999</v>
      </c>
      <c r="G193" s="280">
        <v>16</v>
      </c>
      <c r="I193" s="279">
        <v>0.28999999999999998</v>
      </c>
      <c r="J193" s="280" t="s">
        <v>194</v>
      </c>
      <c r="O193" s="279">
        <v>1.0629999999999999</v>
      </c>
      <c r="P193" s="281">
        <v>27</v>
      </c>
      <c r="Q193" s="279">
        <v>1.6500000000000001E-2</v>
      </c>
      <c r="R193" s="281">
        <v>0.42</v>
      </c>
      <c r="V193" t="str">
        <f t="shared" si="2"/>
        <v xml:space="preserve">Drams  &lt;&lt;&lt;&gt;&gt;&gt; Grains </v>
      </c>
      <c r="W193" t="s">
        <v>340</v>
      </c>
      <c r="X193" t="s">
        <v>341</v>
      </c>
      <c r="Y193">
        <v>27.343699999999998</v>
      </c>
    </row>
    <row r="194" spans="1:25">
      <c r="B194" s="287">
        <v>0.20469999999999999</v>
      </c>
      <c r="D194" s="1">
        <v>5.2</v>
      </c>
      <c r="F194" s="279">
        <v>0.18</v>
      </c>
      <c r="G194" s="280">
        <v>15</v>
      </c>
      <c r="I194" s="279">
        <v>0.28120000000000001</v>
      </c>
      <c r="J194" s="280" t="s">
        <v>188</v>
      </c>
      <c r="O194" s="279">
        <v>1.0827</v>
      </c>
      <c r="P194" s="281">
        <v>27.5</v>
      </c>
      <c r="Q194" s="279">
        <v>1.5699999999999999E-2</v>
      </c>
      <c r="R194" s="281">
        <v>0.4</v>
      </c>
      <c r="V194" t="str">
        <f t="shared" si="2"/>
        <v xml:space="preserve">Drams  &lt;&lt;&lt;&gt;&gt;&gt; Grams </v>
      </c>
      <c r="W194" t="s">
        <v>340</v>
      </c>
      <c r="X194" t="s">
        <v>254</v>
      </c>
      <c r="Y194">
        <v>1.7718</v>
      </c>
    </row>
    <row r="195" spans="1:25">
      <c r="B195" s="287">
        <v>0.20550000000000002</v>
      </c>
      <c r="C195" s="168">
        <v>5</v>
      </c>
      <c r="F195" s="279">
        <v>0.182</v>
      </c>
      <c r="G195" s="280">
        <v>14</v>
      </c>
      <c r="I195" s="279">
        <v>0.28100000000000003</v>
      </c>
      <c r="J195" s="280" t="s">
        <v>186</v>
      </c>
      <c r="O195" s="279">
        <v>1.1024</v>
      </c>
      <c r="P195" s="281">
        <v>28</v>
      </c>
      <c r="Q195" s="279">
        <v>1.4999999999999999E-2</v>
      </c>
      <c r="R195" s="281">
        <v>0.38</v>
      </c>
      <c r="V195" t="str">
        <f t="shared" ref="V195:V258" si="3">IF(W195="","",W195&amp;" &lt;&lt;&lt;&gt;&gt;&gt; "&amp;X195)</f>
        <v xml:space="preserve">Drams  &lt;&lt;&lt;&gt;&gt;&gt; Ounces </v>
      </c>
      <c r="W195" t="s">
        <v>340</v>
      </c>
      <c r="X195" t="s">
        <v>342</v>
      </c>
      <c r="Y195">
        <v>6.25E-2</v>
      </c>
    </row>
    <row r="196" spans="1:25">
      <c r="B196" s="287">
        <v>0.20669999999999999</v>
      </c>
      <c r="D196" s="1">
        <v>5.25</v>
      </c>
      <c r="F196" s="279">
        <v>0.185</v>
      </c>
      <c r="G196" s="280">
        <v>13</v>
      </c>
      <c r="I196" s="279">
        <v>0.27700000000000002</v>
      </c>
      <c r="J196" s="280" t="s">
        <v>183</v>
      </c>
      <c r="O196" s="279">
        <v>1.1220000000000001</v>
      </c>
      <c r="P196" s="281">
        <v>28.5</v>
      </c>
      <c r="Q196" s="279">
        <v>1.4200000000000001E-2</v>
      </c>
      <c r="R196" s="281">
        <v>0.36</v>
      </c>
      <c r="V196" t="str">
        <f t="shared" si="3"/>
        <v xml:space="preserve">Drams(apoth. or troy)  &lt;&lt;&lt;&gt;&gt;&gt; Ounces (troy) </v>
      </c>
      <c r="W196" t="s">
        <v>343</v>
      </c>
      <c r="X196" t="s">
        <v>344</v>
      </c>
      <c r="Y196">
        <v>0.125</v>
      </c>
    </row>
    <row r="197" spans="1:25">
      <c r="B197" s="287">
        <v>0.2087</v>
      </c>
      <c r="D197" s="1">
        <v>5.3</v>
      </c>
      <c r="F197" s="279">
        <v>0.1875</v>
      </c>
      <c r="G197" s="280" t="s">
        <v>214</v>
      </c>
      <c r="I197" s="279">
        <v>0.27200000000000002</v>
      </c>
      <c r="J197" s="280" t="s">
        <v>180</v>
      </c>
      <c r="O197" s="279">
        <v>1.1416999999999999</v>
      </c>
      <c r="P197" s="281">
        <v>29</v>
      </c>
      <c r="Q197" s="279">
        <v>1.38E-2</v>
      </c>
      <c r="R197" s="281">
        <v>0.35</v>
      </c>
      <c r="V197" t="str">
        <f t="shared" si="3"/>
        <v xml:space="preserve">Drams(apoth. or troy)  &lt;&lt;&lt;&gt;&gt;&gt; ounces(avoirdupois) </v>
      </c>
      <c r="W197" t="s">
        <v>343</v>
      </c>
      <c r="X197" t="s">
        <v>345</v>
      </c>
      <c r="Y197">
        <v>0.13714290000000001</v>
      </c>
    </row>
    <row r="198" spans="1:25">
      <c r="B198" s="287">
        <v>0.20899999999999999</v>
      </c>
      <c r="C198" s="168">
        <v>4</v>
      </c>
      <c r="F198" s="279">
        <v>0.189</v>
      </c>
      <c r="G198" s="280">
        <v>12</v>
      </c>
      <c r="I198" s="279">
        <v>0.26600000000000001</v>
      </c>
      <c r="J198" s="280" t="s">
        <v>174</v>
      </c>
      <c r="O198" s="279">
        <v>1.1614</v>
      </c>
      <c r="P198" s="281">
        <v>29.5</v>
      </c>
      <c r="Q198" s="279">
        <v>1.34E-2</v>
      </c>
      <c r="R198" s="281">
        <v>0.34</v>
      </c>
      <c r="V198" t="str">
        <f t="shared" si="3"/>
        <v xml:space="preserve">Drops  &lt;&lt;&lt;&gt;&gt;&gt; Teaspoons </v>
      </c>
      <c r="W198" t="s">
        <v>346</v>
      </c>
      <c r="X198" t="s">
        <v>347</v>
      </c>
      <c r="Y198">
        <v>1.6660000000000001E-2</v>
      </c>
    </row>
    <row r="199" spans="1:25">
      <c r="B199" s="287">
        <v>0.21260000000000001</v>
      </c>
      <c r="D199" s="1">
        <v>5.4</v>
      </c>
      <c r="F199" s="279">
        <v>0.191</v>
      </c>
      <c r="G199" s="280">
        <v>11</v>
      </c>
      <c r="I199" s="279">
        <v>0.2656</v>
      </c>
      <c r="J199" s="280" t="s">
        <v>170</v>
      </c>
      <c r="O199" s="279">
        <v>1.1811</v>
      </c>
      <c r="P199" s="281">
        <v>30</v>
      </c>
      <c r="Q199" s="279">
        <v>1.26E-2</v>
      </c>
      <c r="R199" s="281">
        <v>0.32</v>
      </c>
      <c r="V199" t="str">
        <f t="shared" si="3"/>
        <v>Dyne/Centimeter &lt;&lt;&lt;&gt;&gt;&gt; Erg/sq. millimeter</v>
      </c>
      <c r="W199" t="s">
        <v>348</v>
      </c>
      <c r="X199" t="s">
        <v>349</v>
      </c>
      <c r="Y199">
        <v>0.01</v>
      </c>
    </row>
    <row r="200" spans="1:25">
      <c r="B200" s="287">
        <v>0.21299999999999999</v>
      </c>
      <c r="C200" s="168">
        <v>3</v>
      </c>
      <c r="F200" s="279">
        <v>0.19350000000000001</v>
      </c>
      <c r="G200" s="280">
        <v>10</v>
      </c>
      <c r="I200" s="279">
        <v>0.26100000000000001</v>
      </c>
      <c r="J200" s="280" t="s">
        <v>167</v>
      </c>
      <c r="O200" s="279">
        <v>1.2008000000000001</v>
      </c>
      <c r="P200" s="281">
        <v>30.5</v>
      </c>
      <c r="Q200" s="279">
        <v>1.18E-2</v>
      </c>
      <c r="R200" s="281">
        <v>0.3</v>
      </c>
      <c r="V200" t="str">
        <f t="shared" si="3"/>
        <v>Dyne/sq. Centimeter &lt;&lt;&lt;&gt;&gt;&gt; Atmospheres</v>
      </c>
      <c r="W200" t="s">
        <v>350</v>
      </c>
      <c r="X200" t="s">
        <v>351</v>
      </c>
      <c r="Y200">
        <v>9.8700000000000004E-7</v>
      </c>
    </row>
    <row r="201" spans="1:25">
      <c r="B201" s="287">
        <v>0.2165</v>
      </c>
      <c r="D201" s="1">
        <v>5.5</v>
      </c>
      <c r="F201" s="279">
        <v>0.19600000000000001</v>
      </c>
      <c r="G201" s="280">
        <v>9</v>
      </c>
      <c r="I201" s="279">
        <v>0.25700000000000001</v>
      </c>
      <c r="J201" s="280" t="s">
        <v>164</v>
      </c>
      <c r="O201" s="279">
        <v>1.2204999999999999</v>
      </c>
      <c r="P201" s="281">
        <v>31</v>
      </c>
      <c r="Q201" s="279">
        <v>1.14E-2</v>
      </c>
      <c r="R201" s="281">
        <v>0.28999999999999998</v>
      </c>
      <c r="V201" t="str">
        <f t="shared" si="3"/>
        <v>Dyne/sq. Centimeter &lt;&lt;&lt;&gt;&gt;&gt; Inch of mercury at 0øC</v>
      </c>
      <c r="W201" t="s">
        <v>350</v>
      </c>
      <c r="X201" t="s">
        <v>352</v>
      </c>
      <c r="Y201">
        <v>2.9499999999999999E-5</v>
      </c>
    </row>
    <row r="202" spans="1:25">
      <c r="A202" s="168" t="s">
        <v>938</v>
      </c>
      <c r="B202" s="287">
        <v>0.21879999999999999</v>
      </c>
      <c r="F202" s="279">
        <v>0.19900000000000001</v>
      </c>
      <c r="G202" s="280">
        <v>8</v>
      </c>
      <c r="I202" s="279">
        <v>0.25</v>
      </c>
      <c r="J202" s="280" t="s">
        <v>355</v>
      </c>
      <c r="O202" s="279">
        <v>1.2402</v>
      </c>
      <c r="P202" s="281">
        <v>31.5</v>
      </c>
      <c r="Q202" s="279">
        <v>1.0999999999999999E-2</v>
      </c>
      <c r="R202" s="281">
        <v>0.28000000000000003</v>
      </c>
      <c r="V202" t="str">
        <f t="shared" si="3"/>
        <v>Dyne/sq. Centimeter &lt;&lt;&lt;&gt;&gt;&gt; Inch of water at 4øC</v>
      </c>
      <c r="W202" t="s">
        <v>350</v>
      </c>
      <c r="X202" t="s">
        <v>353</v>
      </c>
      <c r="Y202">
        <v>4.015E-4</v>
      </c>
    </row>
    <row r="203" spans="1:25">
      <c r="B203" s="287">
        <v>0.2205</v>
      </c>
      <c r="D203" s="1">
        <v>5.6</v>
      </c>
      <c r="F203" s="279">
        <v>0.20100000000000001</v>
      </c>
      <c r="G203" s="280">
        <v>7</v>
      </c>
      <c r="I203" s="279">
        <v>0.246</v>
      </c>
      <c r="J203" s="280" t="s">
        <v>154</v>
      </c>
      <c r="O203" s="279">
        <v>1.2598</v>
      </c>
      <c r="P203" s="281">
        <v>32</v>
      </c>
      <c r="Q203" s="279">
        <v>1.06E-2</v>
      </c>
      <c r="R203" s="281">
        <v>0.27</v>
      </c>
      <c r="V203" t="str">
        <f t="shared" si="3"/>
        <v xml:space="preserve">Dyne/sq. cm  &lt;&lt;&lt;&gt;&gt;&gt; Atmospheres </v>
      </c>
      <c r="W203" t="s">
        <v>354</v>
      </c>
      <c r="X203" t="s">
        <v>1107</v>
      </c>
      <c r="Y203">
        <v>9.8700000000000004E-7</v>
      </c>
    </row>
    <row r="204" spans="1:25">
      <c r="B204" s="287">
        <v>0.221</v>
      </c>
      <c r="C204" s="168">
        <v>2</v>
      </c>
      <c r="F204" s="279">
        <v>0.2031</v>
      </c>
      <c r="G204" s="280" t="s">
        <v>922</v>
      </c>
      <c r="I204" s="279">
        <v>0.24199999999999999</v>
      </c>
      <c r="J204" s="280" t="s">
        <v>152</v>
      </c>
      <c r="O204" s="279">
        <v>1.2795000000000001</v>
      </c>
      <c r="P204" s="281">
        <v>32.5</v>
      </c>
      <c r="Q204" s="279">
        <v>1.0200000000000001E-2</v>
      </c>
      <c r="R204" s="281">
        <v>0.26</v>
      </c>
      <c r="V204" t="str">
        <f t="shared" si="3"/>
        <v xml:space="preserve">Dyne/sq. cm  &lt;&lt;&lt;&gt;&gt;&gt; Inch of Mercury at 0øC </v>
      </c>
      <c r="W204" t="s">
        <v>354</v>
      </c>
      <c r="X204" t="s">
        <v>356</v>
      </c>
      <c r="Y204">
        <v>2.9499999999999999E-5</v>
      </c>
    </row>
    <row r="205" spans="1:25">
      <c r="B205" s="287">
        <v>0.22439999999999999</v>
      </c>
      <c r="D205" s="1">
        <v>5.7</v>
      </c>
      <c r="F205" s="279">
        <v>0.20400000000000001</v>
      </c>
      <c r="G205" s="280">
        <v>6</v>
      </c>
      <c r="I205" s="279">
        <v>0.23800000000000002</v>
      </c>
      <c r="J205" s="280" t="s">
        <v>150</v>
      </c>
      <c r="O205" s="279">
        <v>1.2991999999999999</v>
      </c>
      <c r="P205" s="281">
        <v>33</v>
      </c>
      <c r="Q205" s="279">
        <v>9.7999999999999997E-3</v>
      </c>
      <c r="R205" s="281">
        <v>0.25</v>
      </c>
      <c r="V205" t="str">
        <f t="shared" si="3"/>
        <v xml:space="preserve">Dyne/sq. cm  &lt;&lt;&lt;&gt;&gt;&gt; Inch of water at 4øC </v>
      </c>
      <c r="W205" t="s">
        <v>354</v>
      </c>
      <c r="X205" t="s">
        <v>357</v>
      </c>
      <c r="Y205">
        <v>4.015E-4</v>
      </c>
    </row>
    <row r="206" spans="1:25">
      <c r="B206" s="287">
        <v>0.22639999999999999</v>
      </c>
      <c r="D206" s="1">
        <v>5.75</v>
      </c>
      <c r="F206" s="279">
        <v>0.20550000000000002</v>
      </c>
      <c r="G206" s="280">
        <v>5</v>
      </c>
      <c r="I206" s="279">
        <v>0.2344</v>
      </c>
      <c r="J206" s="280" t="s">
        <v>144</v>
      </c>
      <c r="O206" s="279">
        <v>1.3189</v>
      </c>
      <c r="P206" s="281">
        <v>33.5</v>
      </c>
      <c r="Q206" s="279">
        <v>9.4000000000000004E-3</v>
      </c>
      <c r="R206" s="281">
        <v>0.24</v>
      </c>
      <c r="V206" t="str">
        <f t="shared" si="3"/>
        <v>Dynes &lt;&lt;&lt;&gt;&gt;&gt; Grams</v>
      </c>
      <c r="W206" t="s">
        <v>358</v>
      </c>
      <c r="X206" t="s">
        <v>78</v>
      </c>
      <c r="Y206">
        <v>1.0200000000000001E-3</v>
      </c>
    </row>
    <row r="207" spans="1:25">
      <c r="B207" s="287">
        <v>0.22800000000000001</v>
      </c>
      <c r="C207" s="168">
        <v>1</v>
      </c>
      <c r="F207" s="279">
        <v>0.20899999999999999</v>
      </c>
      <c r="G207" s="280">
        <v>4</v>
      </c>
      <c r="I207" s="279">
        <v>0.23400000000000001</v>
      </c>
      <c r="J207" s="280" t="s">
        <v>952</v>
      </c>
      <c r="O207" s="279">
        <v>1.3386</v>
      </c>
      <c r="P207" s="281">
        <v>34</v>
      </c>
      <c r="Q207" s="279">
        <v>9.1000000000000004E-3</v>
      </c>
      <c r="R207" s="281">
        <v>0.23</v>
      </c>
      <c r="V207" t="str">
        <f t="shared" si="3"/>
        <v>Dynes &lt;&lt;&lt;&gt;&gt;&gt; Joules/Centimeter</v>
      </c>
      <c r="W207" t="s">
        <v>358</v>
      </c>
      <c r="X207" t="s">
        <v>359</v>
      </c>
      <c r="Y207">
        <v>9.9999999999999995E-8</v>
      </c>
    </row>
    <row r="208" spans="1:25">
      <c r="B208" s="287">
        <v>0.2283</v>
      </c>
      <c r="D208" s="1">
        <v>5.8</v>
      </c>
      <c r="F208" s="279">
        <v>0.21299999999999999</v>
      </c>
      <c r="G208" s="280">
        <v>3</v>
      </c>
      <c r="I208" s="279">
        <v>0.22800000000000001</v>
      </c>
      <c r="J208" s="280">
        <v>1</v>
      </c>
      <c r="O208" s="279">
        <v>1.3583000000000001</v>
      </c>
      <c r="P208" s="281">
        <v>34.5</v>
      </c>
      <c r="Q208" s="279">
        <v>8.6999999999999994E-3</v>
      </c>
      <c r="R208" s="285">
        <v>0.22</v>
      </c>
      <c r="V208" t="str">
        <f t="shared" si="3"/>
        <v>Dynes &lt;&lt;&lt;&gt;&gt;&gt; Joules/Meter (Newtons)</v>
      </c>
      <c r="W208" t="s">
        <v>358</v>
      </c>
      <c r="X208" t="s">
        <v>360</v>
      </c>
      <c r="Y208">
        <v>1.0000000000000001E-5</v>
      </c>
    </row>
    <row r="209" spans="1:25">
      <c r="B209" s="287">
        <v>0.23230000000000001</v>
      </c>
      <c r="D209" s="1">
        <v>5.9</v>
      </c>
      <c r="F209" s="279">
        <v>0.21879999999999999</v>
      </c>
      <c r="G209" s="280" t="s">
        <v>938</v>
      </c>
      <c r="I209" s="279">
        <v>0.221</v>
      </c>
      <c r="J209" s="280">
        <v>2</v>
      </c>
      <c r="O209" s="279">
        <v>1.3779999999999999</v>
      </c>
      <c r="P209" s="281">
        <v>35</v>
      </c>
      <c r="Q209" s="279">
        <v>8.3000000000000001E-3</v>
      </c>
      <c r="R209" s="281">
        <v>0.21</v>
      </c>
      <c r="V209" t="str">
        <f t="shared" si="3"/>
        <v>Dynes &lt;&lt;&lt;&gt;&gt;&gt; Kilograms</v>
      </c>
      <c r="W209" t="s">
        <v>358</v>
      </c>
      <c r="X209" t="s">
        <v>82</v>
      </c>
      <c r="Y209">
        <v>1.02E-6</v>
      </c>
    </row>
    <row r="210" spans="1:25">
      <c r="B210" s="287">
        <v>0.23400000000000001</v>
      </c>
      <c r="C210" s="168" t="s">
        <v>952</v>
      </c>
      <c r="F210" s="279">
        <v>0.221</v>
      </c>
      <c r="G210" s="280">
        <v>2</v>
      </c>
      <c r="I210" s="279">
        <v>0.21879999999999999</v>
      </c>
      <c r="J210" s="280" t="s">
        <v>938</v>
      </c>
      <c r="O210" s="279">
        <v>1.3976</v>
      </c>
      <c r="P210" s="281">
        <v>35.5</v>
      </c>
      <c r="Q210" s="279">
        <v>7.9000000000000008E-3</v>
      </c>
      <c r="R210" s="281">
        <v>0.2</v>
      </c>
      <c r="V210" t="str">
        <f t="shared" si="3"/>
        <v>Dynes &lt;&lt;&lt;&gt;&gt;&gt; Newtons (N)</v>
      </c>
      <c r="W210" t="s">
        <v>358</v>
      </c>
      <c r="X210" t="s">
        <v>361</v>
      </c>
      <c r="Y210">
        <v>1.0000000000000001E-5</v>
      </c>
    </row>
    <row r="211" spans="1:25">
      <c r="A211" s="168" t="s">
        <v>144</v>
      </c>
      <c r="B211" s="287">
        <v>0.2344</v>
      </c>
      <c r="F211" s="279">
        <v>0.22800000000000001</v>
      </c>
      <c r="G211" s="280">
        <v>1</v>
      </c>
      <c r="I211" s="279">
        <v>0.21299999999999999</v>
      </c>
      <c r="J211" s="280">
        <v>3</v>
      </c>
      <c r="O211" s="279">
        <v>1.4173</v>
      </c>
      <c r="P211" s="281">
        <v>36</v>
      </c>
      <c r="Q211" s="279">
        <v>7.4999999999999997E-3</v>
      </c>
      <c r="R211" s="281">
        <v>0.19</v>
      </c>
      <c r="V211" t="str">
        <f t="shared" si="3"/>
        <v>Dynes &lt;&lt;&lt;&gt;&gt;&gt; Poundals</v>
      </c>
      <c r="W211" t="s">
        <v>358</v>
      </c>
      <c r="X211" t="s">
        <v>362</v>
      </c>
      <c r="Y211">
        <v>7.2299999999999996E-5</v>
      </c>
    </row>
    <row r="212" spans="1:25">
      <c r="B212" s="287">
        <v>0.23619999999999999</v>
      </c>
      <c r="D212" s="1">
        <v>6</v>
      </c>
      <c r="F212" s="279">
        <v>0.23400000000000001</v>
      </c>
      <c r="G212" s="280" t="s">
        <v>952</v>
      </c>
      <c r="I212" s="279">
        <v>0.20899999999999999</v>
      </c>
      <c r="J212" s="280">
        <v>4</v>
      </c>
      <c r="O212" s="279">
        <v>1.4370000000000001</v>
      </c>
      <c r="P212" s="281">
        <v>36.5</v>
      </c>
      <c r="Q212" s="279">
        <v>7.1000000000000004E-3</v>
      </c>
      <c r="R212" s="281">
        <v>0.18</v>
      </c>
      <c r="V212" t="str">
        <f t="shared" si="3"/>
        <v>Dynes &lt;&lt;&lt;&gt;&gt;&gt; Pounds</v>
      </c>
      <c r="W212" t="s">
        <v>358</v>
      </c>
      <c r="X212" t="s">
        <v>80</v>
      </c>
      <c r="Y212">
        <v>2.2500000000000001E-6</v>
      </c>
    </row>
    <row r="213" spans="1:25">
      <c r="B213" s="287">
        <v>0.23800000000000002</v>
      </c>
      <c r="C213" s="168" t="s">
        <v>150</v>
      </c>
      <c r="F213" s="279">
        <v>0.2344</v>
      </c>
      <c r="G213" s="280" t="s">
        <v>144</v>
      </c>
      <c r="I213" s="279">
        <v>0.20550000000000002</v>
      </c>
      <c r="J213" s="280">
        <v>5</v>
      </c>
      <c r="O213" s="279">
        <v>1.4567000000000001</v>
      </c>
      <c r="P213" s="281">
        <v>37</v>
      </c>
      <c r="Q213" s="279">
        <v>6.7000000000000002E-3</v>
      </c>
      <c r="R213" s="281">
        <v>0.17</v>
      </c>
      <c r="V213" t="str">
        <f t="shared" si="3"/>
        <v xml:space="preserve">Dynes  &lt;&lt;&lt;&gt;&gt;&gt; Grams </v>
      </c>
      <c r="W213" t="s">
        <v>363</v>
      </c>
      <c r="X213" t="s">
        <v>254</v>
      </c>
      <c r="Y213">
        <v>1.0200000000000001E-3</v>
      </c>
    </row>
    <row r="214" spans="1:25">
      <c r="B214" s="287">
        <v>0.2402</v>
      </c>
      <c r="D214" s="1">
        <v>6.1</v>
      </c>
      <c r="F214" s="279">
        <v>0.23800000000000002</v>
      </c>
      <c r="G214" s="280" t="s">
        <v>150</v>
      </c>
      <c r="I214" s="279">
        <v>0.20400000000000001</v>
      </c>
      <c r="J214" s="280">
        <v>6</v>
      </c>
      <c r="O214" s="279">
        <v>1.4763999999999999</v>
      </c>
      <c r="P214" s="281">
        <v>37.5</v>
      </c>
      <c r="Q214" s="279">
        <v>6.3E-3</v>
      </c>
      <c r="R214" s="281">
        <v>0.16</v>
      </c>
      <c r="V214" t="str">
        <f t="shared" si="3"/>
        <v xml:space="preserve">Dynes  &lt;&lt;&lt;&gt;&gt;&gt; Kilograms </v>
      </c>
      <c r="W214" t="s">
        <v>363</v>
      </c>
      <c r="X214" t="s">
        <v>364</v>
      </c>
      <c r="Y214">
        <v>1.02E-6</v>
      </c>
    </row>
    <row r="215" spans="1:25">
      <c r="B215" s="287">
        <v>0.24199999999999999</v>
      </c>
      <c r="C215" s="168" t="s">
        <v>152</v>
      </c>
      <c r="F215" s="279">
        <v>0.24199999999999999</v>
      </c>
      <c r="G215" s="280" t="s">
        <v>152</v>
      </c>
      <c r="I215" s="279">
        <v>0.2031</v>
      </c>
      <c r="J215" s="280" t="s">
        <v>922</v>
      </c>
      <c r="O215" s="279">
        <v>1.4961</v>
      </c>
      <c r="P215" s="281">
        <v>38</v>
      </c>
      <c r="Q215" s="279">
        <v>5.8999999999999999E-3</v>
      </c>
      <c r="R215" s="281">
        <v>0.15</v>
      </c>
      <c r="V215" t="str">
        <f t="shared" si="3"/>
        <v xml:space="preserve">Dynes  &lt;&lt;&lt;&gt;&gt;&gt; Poundals </v>
      </c>
      <c r="W215" t="s">
        <v>363</v>
      </c>
      <c r="X215" t="s">
        <v>365</v>
      </c>
      <c r="Y215">
        <v>7.2299999999999996E-5</v>
      </c>
    </row>
    <row r="216" spans="1:25">
      <c r="B216" s="287">
        <v>0.24410000000000001</v>
      </c>
      <c r="D216" s="1">
        <v>6.2</v>
      </c>
      <c r="F216" s="279">
        <v>0.246</v>
      </c>
      <c r="G216" s="280" t="s">
        <v>154</v>
      </c>
      <c r="I216" s="279">
        <v>0.20100000000000001</v>
      </c>
      <c r="J216" s="280">
        <v>7</v>
      </c>
      <c r="V216" t="str">
        <f t="shared" si="3"/>
        <v xml:space="preserve">Dynes  &lt;&lt;&lt;&gt;&gt;&gt; Pounds </v>
      </c>
      <c r="W216" t="s">
        <v>363</v>
      </c>
      <c r="X216" t="s">
        <v>366</v>
      </c>
      <c r="Y216">
        <v>2.2500000000000001E-6</v>
      </c>
    </row>
    <row r="217" spans="1:25">
      <c r="B217" s="287">
        <v>0.246</v>
      </c>
      <c r="C217" s="168" t="s">
        <v>154</v>
      </c>
      <c r="F217" s="279">
        <v>0.25</v>
      </c>
      <c r="G217" s="280" t="s">
        <v>355</v>
      </c>
      <c r="I217" s="279">
        <v>0.19900000000000001</v>
      </c>
      <c r="J217" s="280">
        <v>8</v>
      </c>
      <c r="V217" t="str">
        <f t="shared" si="3"/>
        <v>Dynes/sq. Centimeter &lt;&lt;&lt;&gt;&gt;&gt; Bars</v>
      </c>
      <c r="W217" t="s">
        <v>367</v>
      </c>
      <c r="X217" t="s">
        <v>1126</v>
      </c>
      <c r="Y217">
        <v>9.9999999999999995E-7</v>
      </c>
    </row>
    <row r="218" spans="1:25">
      <c r="B218" s="287">
        <v>0.24610000000000001</v>
      </c>
      <c r="D218" s="1">
        <v>6.25</v>
      </c>
      <c r="F218" s="279">
        <v>0.25700000000000001</v>
      </c>
      <c r="G218" s="280" t="s">
        <v>164</v>
      </c>
      <c r="I218" s="279">
        <v>0.19600000000000001</v>
      </c>
      <c r="J218" s="280">
        <v>9</v>
      </c>
      <c r="V218" t="str">
        <f t="shared" si="3"/>
        <v>Ell &lt;&lt;&lt;&gt;&gt;&gt; Centimeters</v>
      </c>
      <c r="W218" t="s">
        <v>368</v>
      </c>
      <c r="X218" t="s">
        <v>60</v>
      </c>
      <c r="Y218">
        <v>114.3</v>
      </c>
    </row>
    <row r="219" spans="1:25">
      <c r="B219" s="287">
        <v>0.248</v>
      </c>
      <c r="D219" s="1">
        <v>6.3</v>
      </c>
      <c r="F219" s="279">
        <v>0.26100000000000001</v>
      </c>
      <c r="G219" s="280" t="s">
        <v>167</v>
      </c>
      <c r="I219" s="279">
        <v>0.19350000000000001</v>
      </c>
      <c r="J219" s="280">
        <v>10</v>
      </c>
      <c r="V219" t="str">
        <f t="shared" si="3"/>
        <v>Ell &lt;&lt;&lt;&gt;&gt;&gt; Inches</v>
      </c>
      <c r="W219" t="s">
        <v>368</v>
      </c>
      <c r="X219" t="s">
        <v>56</v>
      </c>
      <c r="Y219">
        <v>45</v>
      </c>
    </row>
    <row r="220" spans="1:25">
      <c r="A220" s="168" t="s">
        <v>159</v>
      </c>
      <c r="B220" s="287">
        <v>0.25</v>
      </c>
      <c r="C220" s="168" t="s">
        <v>160</v>
      </c>
      <c r="F220" s="279">
        <v>0.2656</v>
      </c>
      <c r="G220" s="280" t="s">
        <v>170</v>
      </c>
      <c r="I220" s="279">
        <v>0.191</v>
      </c>
      <c r="J220" s="280">
        <v>11</v>
      </c>
      <c r="V220" t="str">
        <f t="shared" si="3"/>
        <v>Em (pica)  &lt;&lt;&lt;&gt;&gt;&gt; Centimeters</v>
      </c>
      <c r="W220" t="s">
        <v>369</v>
      </c>
      <c r="X220" t="s">
        <v>60</v>
      </c>
      <c r="Y220">
        <v>0.42330000000000001</v>
      </c>
    </row>
    <row r="221" spans="1:25">
      <c r="B221" s="287">
        <v>0.252</v>
      </c>
      <c r="D221" s="1">
        <v>6.4</v>
      </c>
      <c r="F221" s="279">
        <v>0.26600000000000001</v>
      </c>
      <c r="G221" s="280" t="s">
        <v>174</v>
      </c>
      <c r="I221" s="279">
        <v>0.189</v>
      </c>
      <c r="J221" s="280">
        <v>12</v>
      </c>
      <c r="V221" t="str">
        <f t="shared" si="3"/>
        <v>Em (pica)  &lt;&lt;&lt;&gt;&gt;&gt; Inch</v>
      </c>
      <c r="W221" t="s">
        <v>369</v>
      </c>
      <c r="X221" t="s">
        <v>370</v>
      </c>
      <c r="Y221">
        <v>0.16700000000000001</v>
      </c>
    </row>
    <row r="222" spans="1:25">
      <c r="B222" s="287">
        <v>0.25590000000000002</v>
      </c>
      <c r="D222" s="1">
        <v>6.5</v>
      </c>
      <c r="F222" s="279">
        <v>0.27200000000000002</v>
      </c>
      <c r="G222" s="280" t="s">
        <v>180</v>
      </c>
      <c r="I222" s="279">
        <v>0.1875</v>
      </c>
      <c r="J222" s="280" t="s">
        <v>214</v>
      </c>
      <c r="V222" t="str">
        <f t="shared" si="3"/>
        <v xml:space="preserve">Ergs  &lt;&lt;&lt;&gt;&gt;&gt; BTU </v>
      </c>
      <c r="W222" t="s">
        <v>1134</v>
      </c>
      <c r="X222" t="s">
        <v>1133</v>
      </c>
      <c r="Y222">
        <v>9.4799999999999998E-11</v>
      </c>
    </row>
    <row r="223" spans="1:25">
      <c r="B223" s="287">
        <v>0.25700000000000001</v>
      </c>
      <c r="C223" s="168" t="s">
        <v>164</v>
      </c>
      <c r="F223" s="279">
        <v>0.27700000000000002</v>
      </c>
      <c r="G223" s="280" t="s">
        <v>183</v>
      </c>
      <c r="I223" s="279">
        <v>0.185</v>
      </c>
      <c r="J223" s="280">
        <v>13</v>
      </c>
      <c r="V223" t="str">
        <f t="shared" si="3"/>
        <v xml:space="preserve">Ergs  &lt;&lt;&lt;&gt;&gt;&gt; HorsePower-Hours </v>
      </c>
      <c r="W223" t="s">
        <v>1134</v>
      </c>
      <c r="X223" t="s">
        <v>1137</v>
      </c>
      <c r="Y223">
        <v>3.7300000000000003E-14</v>
      </c>
    </row>
    <row r="224" spans="1:25">
      <c r="B224" s="287">
        <v>0.25979999999999998</v>
      </c>
      <c r="D224" s="1">
        <v>6.6</v>
      </c>
      <c r="F224" s="279">
        <v>0.28100000000000003</v>
      </c>
      <c r="G224" s="280" t="s">
        <v>186</v>
      </c>
      <c r="I224" s="279">
        <v>0.182</v>
      </c>
      <c r="J224" s="280">
        <v>14</v>
      </c>
      <c r="V224" t="str">
        <f t="shared" si="3"/>
        <v xml:space="preserve">Ergs  &lt;&lt;&lt;&gt;&gt;&gt; Joules </v>
      </c>
      <c r="W224" t="s">
        <v>1134</v>
      </c>
      <c r="X224" t="s">
        <v>1138</v>
      </c>
      <c r="Y224">
        <v>9.9999999999999995E-8</v>
      </c>
    </row>
    <row r="225" spans="1:25">
      <c r="B225" s="287">
        <v>0.26100000000000001</v>
      </c>
      <c r="C225" s="168" t="s">
        <v>167</v>
      </c>
      <c r="F225" s="279">
        <v>0.28120000000000001</v>
      </c>
      <c r="G225" s="280" t="s">
        <v>188</v>
      </c>
      <c r="I225" s="279">
        <v>0.18</v>
      </c>
      <c r="J225" s="280">
        <v>15</v>
      </c>
      <c r="V225" t="str">
        <f t="shared" si="3"/>
        <v xml:space="preserve">Ergs  &lt;&lt;&lt;&gt;&gt;&gt; Kilowatt-Hours </v>
      </c>
      <c r="W225" t="s">
        <v>1134</v>
      </c>
      <c r="X225" t="s">
        <v>1141</v>
      </c>
      <c r="Y225">
        <v>2.7799999999999999E-14</v>
      </c>
    </row>
    <row r="226" spans="1:25">
      <c r="B226" s="287">
        <v>0.26379999999999998</v>
      </c>
      <c r="D226" s="1">
        <v>6.7</v>
      </c>
      <c r="F226" s="279">
        <v>0.28999999999999998</v>
      </c>
      <c r="G226" s="280" t="s">
        <v>194</v>
      </c>
      <c r="I226" s="279">
        <v>0.17699999999999999</v>
      </c>
      <c r="J226" s="280">
        <v>16</v>
      </c>
      <c r="V226" t="str">
        <f t="shared" si="3"/>
        <v xml:space="preserve">Ergs  &lt;&lt;&lt;&gt;&gt;&gt; Watt-Hours </v>
      </c>
      <c r="W226" t="s">
        <v>1134</v>
      </c>
      <c r="X226" t="s">
        <v>371</v>
      </c>
      <c r="Y226">
        <v>2.78E-11</v>
      </c>
    </row>
    <row r="227" spans="1:25">
      <c r="A227" s="168" t="s">
        <v>170</v>
      </c>
      <c r="B227" s="287">
        <v>0.2656</v>
      </c>
      <c r="F227" s="279">
        <v>0.29499999999999998</v>
      </c>
      <c r="G227" s="280" t="s">
        <v>198</v>
      </c>
      <c r="I227" s="279">
        <v>0.17300000000000001</v>
      </c>
      <c r="J227" s="280">
        <v>17</v>
      </c>
      <c r="V227" t="str">
        <f t="shared" si="3"/>
        <v xml:space="preserve">Ergs/Second  &lt;&lt;&lt;&gt;&gt;&gt; BTU/Minute </v>
      </c>
      <c r="W227" t="s">
        <v>372</v>
      </c>
      <c r="X227" t="s">
        <v>230</v>
      </c>
      <c r="Y227">
        <v>5.6899999999999997E-6</v>
      </c>
    </row>
    <row r="228" spans="1:25">
      <c r="B228" s="287">
        <v>0.26569999999999999</v>
      </c>
      <c r="D228" s="1">
        <v>6.75</v>
      </c>
      <c r="F228" s="279">
        <v>0.2969</v>
      </c>
      <c r="G228" s="280" t="s">
        <v>202</v>
      </c>
      <c r="I228" s="279">
        <v>0.1719</v>
      </c>
      <c r="J228" s="280" t="s">
        <v>197</v>
      </c>
      <c r="V228" t="str">
        <f t="shared" si="3"/>
        <v xml:space="preserve">Ergs/Second  &lt;&lt;&lt;&gt;&gt;&gt; HorsePower </v>
      </c>
      <c r="W228" t="s">
        <v>372</v>
      </c>
      <c r="X228" t="s">
        <v>232</v>
      </c>
      <c r="Y228">
        <v>1.34E-10</v>
      </c>
    </row>
    <row r="229" spans="1:25">
      <c r="B229" s="287">
        <v>0.26600000000000001</v>
      </c>
      <c r="C229" s="168" t="s">
        <v>174</v>
      </c>
      <c r="F229" s="279">
        <v>0.30199999999999999</v>
      </c>
      <c r="G229" s="280" t="s">
        <v>206</v>
      </c>
      <c r="I229" s="279">
        <v>0.16950000000000001</v>
      </c>
      <c r="J229" s="280">
        <v>18</v>
      </c>
      <c r="V229" t="str">
        <f t="shared" si="3"/>
        <v xml:space="preserve">Ergs/Second  &lt;&lt;&lt;&gt;&gt;&gt; Kilowatts </v>
      </c>
      <c r="W229" t="s">
        <v>372</v>
      </c>
      <c r="X229" t="s">
        <v>233</v>
      </c>
      <c r="Y229">
        <v>1E-10</v>
      </c>
    </row>
    <row r="230" spans="1:25">
      <c r="B230" s="287">
        <v>0.26769999999999999</v>
      </c>
      <c r="D230" s="1">
        <v>6.8</v>
      </c>
      <c r="F230" s="279">
        <v>0.3125</v>
      </c>
      <c r="G230" s="280" t="s">
        <v>212</v>
      </c>
      <c r="I230" s="279">
        <v>0.16600000000000001</v>
      </c>
      <c r="J230" s="280">
        <v>19</v>
      </c>
      <c r="V230" t="str">
        <f t="shared" si="3"/>
        <v xml:space="preserve">Faraday/Second  &lt;&lt;&lt;&gt;&gt;&gt; Ampere (absolute) </v>
      </c>
      <c r="W230" t="s">
        <v>373</v>
      </c>
      <c r="X230" t="s">
        <v>374</v>
      </c>
      <c r="Y230">
        <v>96500</v>
      </c>
    </row>
    <row r="231" spans="1:25">
      <c r="B231" s="287">
        <v>0.2717</v>
      </c>
      <c r="D231" s="1">
        <v>6.9</v>
      </c>
      <c r="F231" s="279">
        <v>0.316</v>
      </c>
      <c r="G231" s="280" t="s">
        <v>216</v>
      </c>
      <c r="I231" s="279">
        <v>0.161</v>
      </c>
      <c r="J231" s="280">
        <v>20</v>
      </c>
      <c r="V231" t="str">
        <f t="shared" si="3"/>
        <v xml:space="preserve">Faradays  &lt;&lt;&lt;&gt;&gt;&gt; Ampere-hours </v>
      </c>
      <c r="W231" t="s">
        <v>1104</v>
      </c>
      <c r="X231" t="s">
        <v>1101</v>
      </c>
      <c r="Y231">
        <v>26.8</v>
      </c>
    </row>
    <row r="232" spans="1:25">
      <c r="B232" s="287">
        <v>0.27200000000000002</v>
      </c>
      <c r="C232" s="168" t="s">
        <v>180</v>
      </c>
      <c r="F232" s="279">
        <v>0.32300000000000001</v>
      </c>
      <c r="G232" s="280" t="s">
        <v>221</v>
      </c>
      <c r="I232" s="279">
        <v>0.159</v>
      </c>
      <c r="J232" s="280">
        <v>21</v>
      </c>
      <c r="V232" t="str">
        <f t="shared" si="3"/>
        <v xml:space="preserve">Faradays  &lt;&lt;&lt;&gt;&gt;&gt; Coulombs </v>
      </c>
      <c r="W232" t="s">
        <v>1104</v>
      </c>
      <c r="X232" t="s">
        <v>1102</v>
      </c>
      <c r="Y232">
        <v>96490</v>
      </c>
    </row>
    <row r="233" spans="1:25">
      <c r="B233" s="287">
        <v>0.27560000000000001</v>
      </c>
      <c r="D233" s="1">
        <v>7</v>
      </c>
      <c r="F233" s="279">
        <v>0.3281</v>
      </c>
      <c r="G233" s="280" t="s">
        <v>226</v>
      </c>
      <c r="I233" s="279">
        <v>0.157</v>
      </c>
      <c r="J233" s="280">
        <v>22</v>
      </c>
      <c r="V233" t="str">
        <f t="shared" si="3"/>
        <v>Fathoms &lt;&lt;&lt;&gt;&gt;&gt; Feet</v>
      </c>
      <c r="W233" t="s">
        <v>375</v>
      </c>
      <c r="X233" t="s">
        <v>62</v>
      </c>
      <c r="Y233">
        <v>6</v>
      </c>
    </row>
    <row r="234" spans="1:25">
      <c r="B234" s="287">
        <v>0.27700000000000002</v>
      </c>
      <c r="C234" s="168" t="s">
        <v>183</v>
      </c>
      <c r="F234" s="279">
        <v>0.33200000000000002</v>
      </c>
      <c r="G234" s="280" t="s">
        <v>920</v>
      </c>
      <c r="I234" s="279">
        <v>0.15620000000000001</v>
      </c>
      <c r="J234" s="280" t="s">
        <v>179</v>
      </c>
      <c r="V234" t="str">
        <f t="shared" si="3"/>
        <v>Fathoms &lt;&lt;&lt;&gt;&gt;&gt; Meter</v>
      </c>
      <c r="W234" t="s">
        <v>375</v>
      </c>
      <c r="X234" t="s">
        <v>376</v>
      </c>
      <c r="Y234">
        <v>1.8288040000000001</v>
      </c>
    </row>
    <row r="235" spans="1:25">
      <c r="B235" s="287">
        <v>0.27950000000000003</v>
      </c>
      <c r="D235" s="1">
        <v>7.1</v>
      </c>
      <c r="F235" s="279">
        <v>0.33900000000000002</v>
      </c>
      <c r="G235" s="280" t="s">
        <v>926</v>
      </c>
      <c r="I235" s="279">
        <v>0.154</v>
      </c>
      <c r="J235" s="280">
        <v>23</v>
      </c>
      <c r="V235" t="str">
        <f t="shared" si="3"/>
        <v>Feet &lt;&lt;&lt;&gt;&gt;&gt; Centimeters</v>
      </c>
      <c r="W235" t="s">
        <v>62</v>
      </c>
      <c r="X235" t="s">
        <v>60</v>
      </c>
      <c r="Y235">
        <v>30.48</v>
      </c>
    </row>
    <row r="236" spans="1:25">
      <c r="B236" s="287">
        <v>0.28100000000000003</v>
      </c>
      <c r="C236" s="168" t="s">
        <v>186</v>
      </c>
      <c r="F236" s="279">
        <v>0.34379999999999999</v>
      </c>
      <c r="G236" s="280" t="s">
        <v>929</v>
      </c>
      <c r="I236" s="279">
        <v>0.152</v>
      </c>
      <c r="J236" s="280">
        <v>24</v>
      </c>
      <c r="V236" t="str">
        <f t="shared" si="3"/>
        <v>Feet &lt;&lt;&lt;&gt;&gt;&gt; Kilometers</v>
      </c>
      <c r="W236" t="s">
        <v>62</v>
      </c>
      <c r="X236" t="s">
        <v>70</v>
      </c>
      <c r="Y236">
        <v>3.0479999999999998E-4</v>
      </c>
    </row>
    <row r="237" spans="1:25">
      <c r="A237" s="168" t="s">
        <v>188</v>
      </c>
      <c r="B237" s="287">
        <v>0.28120000000000001</v>
      </c>
      <c r="F237" s="279">
        <v>0.34800000000000003</v>
      </c>
      <c r="G237" s="280" t="s">
        <v>933</v>
      </c>
      <c r="I237" s="279">
        <v>0.14949999999999999</v>
      </c>
      <c r="J237" s="280">
        <v>25</v>
      </c>
      <c r="V237" t="str">
        <f t="shared" si="3"/>
        <v>Feet &lt;&lt;&lt;&gt;&gt;&gt; Meters</v>
      </c>
      <c r="W237" t="s">
        <v>62</v>
      </c>
      <c r="X237" t="s">
        <v>64</v>
      </c>
      <c r="Y237">
        <v>0.30480000000000002</v>
      </c>
    </row>
    <row r="238" spans="1:25">
      <c r="B238" s="287">
        <v>0.28350000000000003</v>
      </c>
      <c r="D238" s="1">
        <v>7.2</v>
      </c>
      <c r="F238" s="279">
        <v>0.35799999999999998</v>
      </c>
      <c r="G238" s="280" t="s">
        <v>939</v>
      </c>
      <c r="I238" s="279">
        <v>0.14699999999999999</v>
      </c>
      <c r="J238" s="280">
        <v>26</v>
      </c>
      <c r="V238" t="str">
        <f t="shared" si="3"/>
        <v xml:space="preserve">Feet &lt;&lt;&lt;&gt;&gt;&gt; Miles (naut.) </v>
      </c>
      <c r="W238" t="s">
        <v>62</v>
      </c>
      <c r="X238" t="s">
        <v>377</v>
      </c>
      <c r="Y238">
        <v>1.6449999999999999E-4</v>
      </c>
    </row>
    <row r="239" spans="1:25">
      <c r="B239" s="287">
        <v>0.28539999999999999</v>
      </c>
      <c r="D239" s="1">
        <v>7.25</v>
      </c>
      <c r="F239" s="279">
        <v>0.3594</v>
      </c>
      <c r="G239" s="280" t="s">
        <v>943</v>
      </c>
      <c r="I239" s="279">
        <v>0.14400000000000002</v>
      </c>
      <c r="J239" s="280">
        <v>27</v>
      </c>
      <c r="V239" t="str">
        <f t="shared" si="3"/>
        <v xml:space="preserve">Feet &lt;&lt;&lt;&gt;&gt;&gt; Miles (stat.) </v>
      </c>
      <c r="W239" t="s">
        <v>62</v>
      </c>
      <c r="X239" t="s">
        <v>378</v>
      </c>
      <c r="Y239">
        <v>1.894E-4</v>
      </c>
    </row>
    <row r="240" spans="1:25">
      <c r="B240" s="287">
        <v>0.28739999999999999</v>
      </c>
      <c r="D240" s="1">
        <v>7.3</v>
      </c>
      <c r="F240" s="279">
        <v>0.36799999999999999</v>
      </c>
      <c r="G240" s="280" t="s">
        <v>948</v>
      </c>
      <c r="I240" s="279">
        <v>0.1406</v>
      </c>
      <c r="J240" s="280" t="s">
        <v>162</v>
      </c>
      <c r="V240" t="str">
        <f t="shared" si="3"/>
        <v>Feet &lt;&lt;&lt;&gt;&gt;&gt; Millimeters</v>
      </c>
      <c r="W240" t="s">
        <v>62</v>
      </c>
      <c r="X240" t="s">
        <v>58</v>
      </c>
      <c r="Y240">
        <v>304.8</v>
      </c>
    </row>
    <row r="241" spans="1:25">
      <c r="B241" s="287">
        <v>0.28999999999999998</v>
      </c>
      <c r="C241" s="168" t="s">
        <v>194</v>
      </c>
      <c r="F241" s="279">
        <v>0.375</v>
      </c>
      <c r="G241" s="280" t="s">
        <v>145</v>
      </c>
      <c r="I241" s="279">
        <v>0.14050000000000001</v>
      </c>
      <c r="J241" s="280">
        <v>28</v>
      </c>
      <c r="V241" t="str">
        <f t="shared" si="3"/>
        <v>Feet &lt;&lt;&lt;&gt;&gt;&gt; Mils</v>
      </c>
      <c r="W241" t="s">
        <v>62</v>
      </c>
      <c r="X241" t="s">
        <v>261</v>
      </c>
      <c r="Y241">
        <v>12000</v>
      </c>
    </row>
    <row r="242" spans="1:25">
      <c r="B242" s="287">
        <v>0.2913</v>
      </c>
      <c r="D242" s="1">
        <v>7.4</v>
      </c>
      <c r="F242" s="279">
        <v>0.377</v>
      </c>
      <c r="G242" s="280" t="s">
        <v>148</v>
      </c>
      <c r="I242" s="279">
        <v>0.13600000000000001</v>
      </c>
      <c r="J242" s="280">
        <v>29</v>
      </c>
      <c r="V242" t="str">
        <f t="shared" si="3"/>
        <v xml:space="preserve">Feet of water  &lt;&lt;&lt;&gt;&gt;&gt; Atmospheres </v>
      </c>
      <c r="W242" t="s">
        <v>263</v>
      </c>
      <c r="X242" t="s">
        <v>1107</v>
      </c>
      <c r="Y242">
        <v>2.9499999999999998E-2</v>
      </c>
    </row>
    <row r="243" spans="1:25">
      <c r="B243" s="287">
        <v>0.29499999999999998</v>
      </c>
      <c r="C243" s="168" t="s">
        <v>198</v>
      </c>
      <c r="F243" s="279">
        <v>0.38600000000000001</v>
      </c>
      <c r="G243" s="280" t="s">
        <v>155</v>
      </c>
      <c r="I243" s="279">
        <v>0.1285</v>
      </c>
      <c r="J243" s="280">
        <v>30</v>
      </c>
      <c r="V243" t="str">
        <f t="shared" si="3"/>
        <v xml:space="preserve">Feet of water  &lt;&lt;&lt;&gt;&gt;&gt; in. of Mercury </v>
      </c>
      <c r="W243" t="s">
        <v>263</v>
      </c>
      <c r="X243" t="s">
        <v>379</v>
      </c>
      <c r="Y243">
        <v>0.88260000000000005</v>
      </c>
    </row>
    <row r="244" spans="1:25">
      <c r="B244" s="287">
        <v>0.29530000000000001</v>
      </c>
      <c r="D244" s="1">
        <v>7.5</v>
      </c>
      <c r="F244" s="279">
        <v>0.3906</v>
      </c>
      <c r="G244" s="280" t="s">
        <v>158</v>
      </c>
      <c r="I244" s="279">
        <v>0.125</v>
      </c>
      <c r="J244" s="280" t="s">
        <v>147</v>
      </c>
      <c r="V244" t="str">
        <f t="shared" si="3"/>
        <v xml:space="preserve">Feet of water  &lt;&lt;&lt;&gt;&gt;&gt; Kgs/sq. cm </v>
      </c>
      <c r="W244" t="s">
        <v>263</v>
      </c>
      <c r="X244" t="s">
        <v>1112</v>
      </c>
      <c r="Y244">
        <v>3.048E-2</v>
      </c>
    </row>
    <row r="245" spans="1:25">
      <c r="A245" s="168" t="s">
        <v>202</v>
      </c>
      <c r="B245" s="287">
        <v>0.2969</v>
      </c>
      <c r="F245" s="279">
        <v>0.39700000000000002</v>
      </c>
      <c r="G245" s="280" t="s">
        <v>120</v>
      </c>
      <c r="I245" s="279">
        <v>0.12</v>
      </c>
      <c r="J245" s="280">
        <v>31</v>
      </c>
      <c r="V245" t="str">
        <f t="shared" si="3"/>
        <v xml:space="preserve">Feet of water  &lt;&lt;&lt;&gt;&gt;&gt; Kgs/sq. meter </v>
      </c>
      <c r="W245" t="s">
        <v>263</v>
      </c>
      <c r="X245" t="s">
        <v>1114</v>
      </c>
      <c r="Y245">
        <v>304.8</v>
      </c>
    </row>
    <row r="246" spans="1:25">
      <c r="B246" s="287">
        <v>0.29920000000000002</v>
      </c>
      <c r="D246" s="1">
        <v>7.6</v>
      </c>
      <c r="F246" s="279">
        <v>0.40400000000000003</v>
      </c>
      <c r="G246" s="280" t="s">
        <v>101</v>
      </c>
      <c r="I246" s="279">
        <v>0.11600000000000001</v>
      </c>
      <c r="J246" s="280">
        <v>32</v>
      </c>
      <c r="V246" t="str">
        <f t="shared" si="3"/>
        <v xml:space="preserve">Feet of water  &lt;&lt;&lt;&gt;&gt;&gt; Pounds/sq. Foot </v>
      </c>
      <c r="W246" t="s">
        <v>263</v>
      </c>
      <c r="X246" t="s">
        <v>1129</v>
      </c>
      <c r="Y246">
        <v>62.43</v>
      </c>
    </row>
    <row r="247" spans="1:25">
      <c r="B247" s="287">
        <v>0.30199999999999999</v>
      </c>
      <c r="C247" s="168" t="s">
        <v>206</v>
      </c>
      <c r="F247" s="279">
        <v>0.40620000000000001</v>
      </c>
      <c r="G247" s="280" t="s">
        <v>165</v>
      </c>
      <c r="I247" s="279">
        <v>0.113</v>
      </c>
      <c r="J247" s="280">
        <v>33</v>
      </c>
      <c r="V247" t="str">
        <f t="shared" si="3"/>
        <v xml:space="preserve">Feet of water  &lt;&lt;&lt;&gt;&gt;&gt; Pounds/sq. Inch </v>
      </c>
      <c r="W247" t="s">
        <v>263</v>
      </c>
      <c r="X247" t="s">
        <v>1115</v>
      </c>
      <c r="Y247">
        <v>0.4335</v>
      </c>
    </row>
    <row r="248" spans="1:25">
      <c r="B248" s="287">
        <v>0.30309999999999998</v>
      </c>
      <c r="D248" s="1">
        <v>7.7</v>
      </c>
      <c r="F248" s="279">
        <v>0.41300000000000003</v>
      </c>
      <c r="G248" s="280" t="s">
        <v>102</v>
      </c>
      <c r="I248" s="279">
        <v>0.111</v>
      </c>
      <c r="J248" s="280">
        <v>34</v>
      </c>
      <c r="V248" t="str">
        <f t="shared" si="3"/>
        <v>Feet per Hour &lt;&lt;&lt;&gt;&gt;&gt; Meters per Hour</v>
      </c>
      <c r="W248" t="s">
        <v>380</v>
      </c>
      <c r="X248" t="s">
        <v>381</v>
      </c>
      <c r="Y248">
        <v>0.30480000000000002</v>
      </c>
    </row>
    <row r="249" spans="1:25">
      <c r="B249" s="287">
        <v>0.30509999999999998</v>
      </c>
      <c r="D249" s="1">
        <v>7.75</v>
      </c>
      <c r="F249" s="279">
        <v>0.4219</v>
      </c>
      <c r="G249" s="280" t="s">
        <v>169</v>
      </c>
      <c r="I249" s="279">
        <v>0.11</v>
      </c>
      <c r="J249" s="280">
        <v>35</v>
      </c>
      <c r="V249" t="str">
        <f t="shared" si="3"/>
        <v>Feet per Hour &lt;&lt;&lt;&gt;&gt;&gt; Meters per Minute</v>
      </c>
      <c r="W249" t="s">
        <v>380</v>
      </c>
      <c r="X249" t="s">
        <v>382</v>
      </c>
      <c r="Y249">
        <v>5.0800000000000003E-3</v>
      </c>
    </row>
    <row r="250" spans="1:25">
      <c r="B250" s="287">
        <v>0.30709999999999998</v>
      </c>
      <c r="D250" s="1">
        <v>7.8</v>
      </c>
      <c r="F250" s="279">
        <v>0.4375</v>
      </c>
      <c r="G250" s="280" t="s">
        <v>172</v>
      </c>
      <c r="I250" s="279">
        <v>0.1094</v>
      </c>
      <c r="J250" s="280" t="s">
        <v>937</v>
      </c>
      <c r="V250" t="str">
        <f t="shared" si="3"/>
        <v>Feet per Hour &lt;&lt;&lt;&gt;&gt;&gt; Meters per Second</v>
      </c>
      <c r="W250" t="s">
        <v>380</v>
      </c>
      <c r="X250" t="s">
        <v>383</v>
      </c>
      <c r="Y250">
        <v>8.4666669999999998E-5</v>
      </c>
    </row>
    <row r="251" spans="1:25">
      <c r="B251" s="287">
        <v>0.311</v>
      </c>
      <c r="D251" s="1">
        <v>7.9</v>
      </c>
      <c r="F251" s="279">
        <v>0.4531</v>
      </c>
      <c r="G251" s="280" t="s">
        <v>175</v>
      </c>
      <c r="I251" s="279">
        <v>0.1065</v>
      </c>
      <c r="J251" s="280">
        <v>36</v>
      </c>
      <c r="V251" t="str">
        <f t="shared" si="3"/>
        <v>Feet per Minute &lt;&lt;&lt;&gt;&gt;&gt; Centimeters per Second</v>
      </c>
      <c r="W251" t="s">
        <v>267</v>
      </c>
      <c r="X251" t="s">
        <v>266</v>
      </c>
      <c r="Y251">
        <v>0.50800000000000001</v>
      </c>
    </row>
    <row r="252" spans="1:25">
      <c r="A252" s="168" t="s">
        <v>212</v>
      </c>
      <c r="B252" s="287">
        <v>0.3125</v>
      </c>
      <c r="F252" s="279">
        <v>0.46879999999999999</v>
      </c>
      <c r="G252" s="280" t="s">
        <v>178</v>
      </c>
      <c r="I252" s="279">
        <v>0.10400000000000001</v>
      </c>
      <c r="J252" s="280">
        <v>37</v>
      </c>
      <c r="V252" t="str">
        <f t="shared" si="3"/>
        <v>Feet per Minute &lt;&lt;&lt;&gt;&gt;&gt; Meters per Hour</v>
      </c>
      <c r="W252" t="s">
        <v>267</v>
      </c>
      <c r="X252" t="s">
        <v>381</v>
      </c>
      <c r="Y252">
        <v>18.288</v>
      </c>
    </row>
    <row r="253" spans="1:25">
      <c r="B253" s="287">
        <v>0.315</v>
      </c>
      <c r="D253" s="1">
        <v>8</v>
      </c>
      <c r="F253" s="279">
        <v>0.4844</v>
      </c>
      <c r="G253" s="280" t="s">
        <v>182</v>
      </c>
      <c r="I253" s="279">
        <v>0.10150000000000001</v>
      </c>
      <c r="J253" s="280">
        <v>38</v>
      </c>
      <c r="V253" t="str">
        <f t="shared" si="3"/>
        <v>Feet per Minute &lt;&lt;&lt;&gt;&gt;&gt; Meters per Minute</v>
      </c>
      <c r="W253" t="s">
        <v>267</v>
      </c>
      <c r="X253" t="s">
        <v>382</v>
      </c>
      <c r="Y253">
        <v>0.30480000000000002</v>
      </c>
    </row>
    <row r="254" spans="1:25">
      <c r="B254" s="287">
        <v>0.316</v>
      </c>
      <c r="C254" s="168" t="s">
        <v>216</v>
      </c>
      <c r="F254" s="279">
        <v>0.5</v>
      </c>
      <c r="G254" s="280" t="s">
        <v>185</v>
      </c>
      <c r="I254" s="279">
        <v>9.9500000000000005E-2</v>
      </c>
      <c r="J254" s="280">
        <v>39</v>
      </c>
      <c r="V254" t="str">
        <f t="shared" si="3"/>
        <v>Feet per Minute &lt;&lt;&lt;&gt;&gt;&gt; Meters per Second</v>
      </c>
      <c r="W254" t="s">
        <v>267</v>
      </c>
      <c r="X254" t="s">
        <v>383</v>
      </c>
      <c r="Y254">
        <v>5.0800000000000003E-3</v>
      </c>
    </row>
    <row r="255" spans="1:25">
      <c r="B255" s="287">
        <v>0.31890000000000002</v>
      </c>
      <c r="D255" s="1">
        <v>8.1</v>
      </c>
      <c r="F255" s="279">
        <v>0.51559999999999995</v>
      </c>
      <c r="G255" s="280" t="s">
        <v>189</v>
      </c>
      <c r="I255" s="279">
        <v>9.8000000000000004E-2</v>
      </c>
      <c r="J255" s="280">
        <v>40</v>
      </c>
      <c r="V255" t="str">
        <f t="shared" si="3"/>
        <v>Feet per Second &lt;&lt;&lt;&gt;&gt;&gt; Centimeters per Second</v>
      </c>
      <c r="W255" t="s">
        <v>268</v>
      </c>
      <c r="X255" t="s">
        <v>266</v>
      </c>
      <c r="Y255">
        <v>30.48</v>
      </c>
    </row>
    <row r="256" spans="1:25">
      <c r="B256" s="287">
        <v>0.32279999999999998</v>
      </c>
      <c r="D256" s="1">
        <v>8.1999999999999993</v>
      </c>
      <c r="F256" s="279">
        <v>0.53120000000000001</v>
      </c>
      <c r="G256" s="280" t="s">
        <v>191</v>
      </c>
      <c r="I256" s="279">
        <v>9.6000000000000002E-2</v>
      </c>
      <c r="J256" s="280">
        <v>41</v>
      </c>
      <c r="V256" t="str">
        <f t="shared" si="3"/>
        <v>Feet per Second &lt;&lt;&lt;&gt;&gt;&gt; Meters per Minute</v>
      </c>
      <c r="W256" t="s">
        <v>268</v>
      </c>
      <c r="X256" t="s">
        <v>382</v>
      </c>
      <c r="Y256">
        <v>18.288</v>
      </c>
    </row>
    <row r="257" spans="1:25">
      <c r="B257" s="287">
        <v>0.32300000000000001</v>
      </c>
      <c r="C257" s="168" t="s">
        <v>221</v>
      </c>
      <c r="F257" s="279">
        <v>0.54690000000000005</v>
      </c>
      <c r="G257" s="280" t="s">
        <v>193</v>
      </c>
      <c r="I257" s="279">
        <v>9.3800000000000008E-2</v>
      </c>
      <c r="J257" s="280" t="s">
        <v>225</v>
      </c>
      <c r="V257" t="str">
        <f t="shared" si="3"/>
        <v>Feet per Second &lt;&lt;&lt;&gt;&gt;&gt; Meters per Second</v>
      </c>
      <c r="W257" t="s">
        <v>268</v>
      </c>
      <c r="X257" t="s">
        <v>383</v>
      </c>
      <c r="Y257">
        <v>0.30480000000000002</v>
      </c>
    </row>
    <row r="258" spans="1:25">
      <c r="B258" s="287">
        <v>0.32479999999999998</v>
      </c>
      <c r="D258" s="1">
        <v>8.25</v>
      </c>
      <c r="F258" s="279">
        <v>0.5625</v>
      </c>
      <c r="G258" s="280" t="s">
        <v>196</v>
      </c>
      <c r="I258" s="279">
        <v>9.35E-2</v>
      </c>
      <c r="J258" s="280">
        <v>42</v>
      </c>
      <c r="V258" t="str">
        <f t="shared" si="3"/>
        <v xml:space="preserve">Feet/Minutes  &lt;&lt;&lt;&gt;&gt;&gt; Centimeters/Seconds </v>
      </c>
      <c r="W258" t="s">
        <v>271</v>
      </c>
      <c r="X258" t="s">
        <v>270</v>
      </c>
      <c r="Y258">
        <v>0.50800000000000001</v>
      </c>
    </row>
    <row r="259" spans="1:25">
      <c r="B259" s="287">
        <v>0.32679999999999998</v>
      </c>
      <c r="D259" s="1">
        <v>8.3000000000000007</v>
      </c>
      <c r="F259" s="279">
        <v>0.57809999999999995</v>
      </c>
      <c r="G259" s="280" t="s">
        <v>200</v>
      </c>
      <c r="I259" s="279">
        <v>8.8999999999999996E-2</v>
      </c>
      <c r="J259" s="280">
        <v>43</v>
      </c>
      <c r="V259" t="str">
        <f t="shared" ref="V259:V322" si="4">IF(W259="","",W259&amp;" &lt;&lt;&lt;&gt;&gt;&gt; "&amp;X259)</f>
        <v xml:space="preserve">Feet/Minutes  &lt;&lt;&lt;&gt;&gt;&gt; Feet/Seconds </v>
      </c>
      <c r="W259" t="s">
        <v>271</v>
      </c>
      <c r="X259" t="s">
        <v>272</v>
      </c>
      <c r="Y259">
        <v>1.6670000000000001E-2</v>
      </c>
    </row>
    <row r="260" spans="1:25">
      <c r="A260" s="168" t="s">
        <v>226</v>
      </c>
      <c r="B260" s="287">
        <v>0.3281</v>
      </c>
      <c r="F260" s="279">
        <v>0.59379999999999999</v>
      </c>
      <c r="G260" s="280" t="s">
        <v>204</v>
      </c>
      <c r="I260" s="279">
        <v>8.6000000000000007E-2</v>
      </c>
      <c r="J260" s="280">
        <v>44</v>
      </c>
      <c r="V260" t="str">
        <f t="shared" si="4"/>
        <v xml:space="preserve">Feet/Minutes  &lt;&lt;&lt;&gt;&gt;&gt; Kilometers/kr </v>
      </c>
      <c r="W260" t="s">
        <v>271</v>
      </c>
      <c r="X260" t="s">
        <v>384</v>
      </c>
      <c r="Y260">
        <v>1.8290000000000001E-2</v>
      </c>
    </row>
    <row r="261" spans="1:25">
      <c r="B261" s="287">
        <v>0.33069999999999999</v>
      </c>
      <c r="D261" s="1">
        <v>8.4</v>
      </c>
      <c r="F261" s="279">
        <v>0.60940000000000005</v>
      </c>
      <c r="G261" s="280" t="s">
        <v>207</v>
      </c>
      <c r="I261" s="279">
        <v>8.2000000000000003E-2</v>
      </c>
      <c r="J261" s="280">
        <v>45</v>
      </c>
      <c r="V261" t="str">
        <f t="shared" si="4"/>
        <v xml:space="preserve">Feet/Minutes  &lt;&lt;&lt;&gt;&gt;&gt; Meters/Minutes </v>
      </c>
      <c r="W261" t="s">
        <v>271</v>
      </c>
      <c r="X261" t="s">
        <v>275</v>
      </c>
      <c r="Y261">
        <v>0.30480000000000002</v>
      </c>
    </row>
    <row r="262" spans="1:25">
      <c r="B262" s="287">
        <v>0.33200000000000002</v>
      </c>
      <c r="C262" s="168" t="s">
        <v>920</v>
      </c>
      <c r="F262" s="279">
        <v>0.625</v>
      </c>
      <c r="G262" s="280" t="s">
        <v>209</v>
      </c>
      <c r="I262" s="279">
        <v>8.1000000000000003E-2</v>
      </c>
      <c r="J262" s="280">
        <v>46</v>
      </c>
      <c r="V262" t="str">
        <f t="shared" si="4"/>
        <v xml:space="preserve">Feet/Minutes  &lt;&lt;&lt;&gt;&gt;&gt; Miles/Hour </v>
      </c>
      <c r="W262" t="s">
        <v>271</v>
      </c>
      <c r="X262" t="s">
        <v>276</v>
      </c>
      <c r="Y262">
        <v>1.136E-2</v>
      </c>
    </row>
    <row r="263" spans="1:25">
      <c r="B263" s="287">
        <v>0.33460000000000001</v>
      </c>
      <c r="D263" s="1">
        <v>8.5</v>
      </c>
      <c r="F263" s="279">
        <v>0.64059999999999995</v>
      </c>
      <c r="G263" s="280" t="s">
        <v>211</v>
      </c>
      <c r="I263" s="279">
        <v>7.85E-2</v>
      </c>
      <c r="J263" s="280">
        <v>47</v>
      </c>
      <c r="V263" t="str">
        <f t="shared" si="4"/>
        <v xml:space="preserve">Feet/Seconds  &lt;&lt;&lt;&gt;&gt;&gt; Centimeters/Seconds </v>
      </c>
      <c r="W263" t="s">
        <v>272</v>
      </c>
      <c r="X263" t="s">
        <v>270</v>
      </c>
      <c r="Y263">
        <v>30.48</v>
      </c>
    </row>
    <row r="264" spans="1:25">
      <c r="B264" s="287">
        <v>0.33860000000000001</v>
      </c>
      <c r="D264" s="1">
        <v>8.6</v>
      </c>
      <c r="F264" s="279">
        <v>0.65620000000000001</v>
      </c>
      <c r="G264" s="280" t="s">
        <v>215</v>
      </c>
      <c r="I264" s="279">
        <v>7.8100000000000003E-2</v>
      </c>
      <c r="J264" s="280" t="s">
        <v>201</v>
      </c>
      <c r="V264" t="str">
        <f t="shared" si="4"/>
        <v xml:space="preserve">Feet/Seconds  &lt;&lt;&lt;&gt;&gt;&gt; Kilometers/Hour </v>
      </c>
      <c r="W264" t="s">
        <v>272</v>
      </c>
      <c r="X264" t="s">
        <v>273</v>
      </c>
      <c r="Y264">
        <v>1.097</v>
      </c>
    </row>
    <row r="265" spans="1:25">
      <c r="B265" s="287">
        <v>0.33900000000000002</v>
      </c>
      <c r="C265" s="168" t="s">
        <v>926</v>
      </c>
      <c r="F265" s="279">
        <v>0.67190000000000005</v>
      </c>
      <c r="G265" s="280" t="s">
        <v>218</v>
      </c>
      <c r="I265" s="279">
        <v>7.5999999999999998E-2</v>
      </c>
      <c r="J265" s="280">
        <v>48</v>
      </c>
      <c r="V265" t="str">
        <f t="shared" si="4"/>
        <v xml:space="preserve">Feet/Seconds  &lt;&lt;&lt;&gt;&gt;&gt; Knots </v>
      </c>
      <c r="W265" t="s">
        <v>272</v>
      </c>
      <c r="X265" t="s">
        <v>274</v>
      </c>
      <c r="Y265">
        <v>0.59209999999999996</v>
      </c>
    </row>
    <row r="266" spans="1:25">
      <c r="B266" s="287">
        <v>0.34250000000000003</v>
      </c>
      <c r="D266" s="1">
        <v>8.6999999999999993</v>
      </c>
      <c r="F266" s="279">
        <v>0.6875</v>
      </c>
      <c r="G266" s="280" t="s">
        <v>220</v>
      </c>
      <c r="I266" s="279">
        <v>7.2999999999999995E-2</v>
      </c>
      <c r="J266" s="280">
        <v>49</v>
      </c>
      <c r="V266" t="str">
        <f t="shared" si="4"/>
        <v xml:space="preserve">Feet/Seconds  &lt;&lt;&lt;&gt;&gt;&gt; Meters/Minutes </v>
      </c>
      <c r="W266" t="s">
        <v>272</v>
      </c>
      <c r="X266" t="s">
        <v>275</v>
      </c>
      <c r="Y266">
        <v>18.29</v>
      </c>
    </row>
    <row r="267" spans="1:25">
      <c r="A267" s="168" t="s">
        <v>929</v>
      </c>
      <c r="B267" s="287">
        <v>0.34379999999999999</v>
      </c>
      <c r="F267" s="279">
        <v>0.70309999999999995</v>
      </c>
      <c r="G267" s="280" t="s">
        <v>223</v>
      </c>
      <c r="I267" s="279">
        <v>7.0000000000000007E-2</v>
      </c>
      <c r="J267" s="280">
        <v>50</v>
      </c>
      <c r="V267" t="str">
        <f t="shared" si="4"/>
        <v xml:space="preserve">Feet/Seconds  &lt;&lt;&lt;&gt;&gt;&gt; Miles/Hour </v>
      </c>
      <c r="W267" t="s">
        <v>272</v>
      </c>
      <c r="X267" t="s">
        <v>276</v>
      </c>
      <c r="Y267">
        <v>0.68179999999999996</v>
      </c>
    </row>
    <row r="268" spans="1:25">
      <c r="B268" s="287">
        <v>0.34450000000000003</v>
      </c>
      <c r="D268" s="1">
        <v>8.75</v>
      </c>
      <c r="F268" s="279">
        <v>0.71879999999999999</v>
      </c>
      <c r="G268" s="280" t="s">
        <v>918</v>
      </c>
      <c r="I268" s="279">
        <v>6.7000000000000004E-2</v>
      </c>
      <c r="J268" s="280">
        <v>51</v>
      </c>
      <c r="V268" t="str">
        <f t="shared" si="4"/>
        <v xml:space="preserve">Feet/Seconds  &lt;&lt;&lt;&gt;&gt;&gt; Miles/Minutes </v>
      </c>
      <c r="W268" t="s">
        <v>272</v>
      </c>
      <c r="X268" t="s">
        <v>277</v>
      </c>
      <c r="Y268">
        <v>1.136E-2</v>
      </c>
    </row>
    <row r="269" spans="1:25">
      <c r="B269" s="287">
        <v>0.34650000000000003</v>
      </c>
      <c r="D269" s="1">
        <v>8.8000000000000007</v>
      </c>
      <c r="F269" s="279">
        <v>0.73440000000000005</v>
      </c>
      <c r="G269" s="280" t="s">
        <v>921</v>
      </c>
      <c r="I269" s="279">
        <v>6.3500000000000001E-2</v>
      </c>
      <c r="J269" s="280">
        <v>52</v>
      </c>
      <c r="V269" t="str">
        <f t="shared" si="4"/>
        <v xml:space="preserve">Feet/Seconds/Seconds  &lt;&lt;&lt;&gt;&gt;&gt; Centimeters/Seconds/Seconds </v>
      </c>
      <c r="W269" t="s">
        <v>279</v>
      </c>
      <c r="X269" t="s">
        <v>278</v>
      </c>
      <c r="Y269">
        <v>30.48</v>
      </c>
    </row>
    <row r="270" spans="1:25">
      <c r="B270" s="287">
        <v>0.34800000000000003</v>
      </c>
      <c r="C270" s="168" t="s">
        <v>933</v>
      </c>
      <c r="F270" s="279">
        <v>0.75</v>
      </c>
      <c r="G270" s="280" t="s">
        <v>924</v>
      </c>
      <c r="I270" s="279">
        <v>6.25E-2</v>
      </c>
      <c r="J270" s="280" t="s">
        <v>177</v>
      </c>
      <c r="V270" t="str">
        <f t="shared" si="4"/>
        <v xml:space="preserve">Feet/Seconds/Seconds  &lt;&lt;&lt;&gt;&gt;&gt; Kilometers/Hour/Seconds </v>
      </c>
      <c r="W270" t="s">
        <v>279</v>
      </c>
      <c r="X270" t="s">
        <v>280</v>
      </c>
      <c r="Y270">
        <v>1.097</v>
      </c>
    </row>
    <row r="271" spans="1:25">
      <c r="B271" s="287">
        <v>0.35039999999999999</v>
      </c>
      <c r="D271" s="1">
        <v>8.9</v>
      </c>
      <c r="F271" s="279">
        <v>0.76559999999999995</v>
      </c>
      <c r="G271" s="280" t="s">
        <v>927</v>
      </c>
      <c r="I271" s="279">
        <v>5.9500000000000004E-2</v>
      </c>
      <c r="J271" s="280">
        <v>53</v>
      </c>
      <c r="V271" t="str">
        <f t="shared" si="4"/>
        <v xml:space="preserve">Feet/Seconds/Seconds  &lt;&lt;&lt;&gt;&gt;&gt; Meters/Seconds/Seconds </v>
      </c>
      <c r="W271" t="s">
        <v>279</v>
      </c>
      <c r="X271" t="s">
        <v>385</v>
      </c>
      <c r="Y271">
        <v>0.30480000000000002</v>
      </c>
    </row>
    <row r="272" spans="1:25">
      <c r="B272" s="287">
        <v>0.3543</v>
      </c>
      <c r="D272" s="1">
        <v>9</v>
      </c>
      <c r="F272" s="279">
        <v>0.78120000000000001</v>
      </c>
      <c r="G272" s="280" t="s">
        <v>930</v>
      </c>
      <c r="I272" s="279">
        <v>5.5E-2</v>
      </c>
      <c r="J272" s="280">
        <v>54</v>
      </c>
      <c r="V272" t="str">
        <f t="shared" si="4"/>
        <v xml:space="preserve">Feet/Seconds/Seconds  &lt;&lt;&lt;&gt;&gt;&gt; Miles/Hour/Seconds </v>
      </c>
      <c r="W272" t="s">
        <v>279</v>
      </c>
      <c r="X272" t="s">
        <v>282</v>
      </c>
      <c r="Y272">
        <v>0.68179999999999996</v>
      </c>
    </row>
    <row r="273" spans="1:25">
      <c r="B273" s="287">
        <v>0.35799999999999998</v>
      </c>
      <c r="C273" s="168" t="s">
        <v>939</v>
      </c>
      <c r="F273" s="279">
        <v>0.79690000000000005</v>
      </c>
      <c r="G273" s="280" t="s">
        <v>932</v>
      </c>
      <c r="I273" s="279">
        <v>5.2000000000000005E-2</v>
      </c>
      <c r="J273" s="280">
        <v>55</v>
      </c>
      <c r="V273" t="str">
        <f t="shared" si="4"/>
        <v xml:space="preserve">Foot-Candle  &lt;&lt;&lt;&gt;&gt;&gt; Lumen/sq. Meter </v>
      </c>
      <c r="W273" t="s">
        <v>386</v>
      </c>
      <c r="X273" t="s">
        <v>387</v>
      </c>
      <c r="Y273">
        <v>10.763999999999999</v>
      </c>
    </row>
    <row r="274" spans="1:25">
      <c r="B274" s="287">
        <v>0.35830000000000001</v>
      </c>
      <c r="D274" s="1">
        <v>9.1</v>
      </c>
      <c r="F274" s="279">
        <v>0.8125</v>
      </c>
      <c r="G274" s="280" t="s">
        <v>935</v>
      </c>
      <c r="I274" s="279">
        <v>4.6900000000000004E-2</v>
      </c>
      <c r="J274" s="280" t="s">
        <v>157</v>
      </c>
      <c r="V274" t="str">
        <f t="shared" si="4"/>
        <v xml:space="preserve">Foot-Candle  &lt;&lt;&lt;&gt;&gt;&gt; Lumen/Square Meter </v>
      </c>
      <c r="W274" t="s">
        <v>386</v>
      </c>
      <c r="X274" t="s">
        <v>388</v>
      </c>
      <c r="Y274">
        <v>10.763999999999999</v>
      </c>
    </row>
    <row r="275" spans="1:25">
      <c r="A275" s="168" t="s">
        <v>943</v>
      </c>
      <c r="B275" s="287">
        <v>0.3594</v>
      </c>
      <c r="F275" s="279">
        <v>0.82809999999999995</v>
      </c>
      <c r="G275" s="280" t="s">
        <v>940</v>
      </c>
      <c r="I275" s="279">
        <v>4.65E-2</v>
      </c>
      <c r="J275" s="280">
        <v>56</v>
      </c>
      <c r="V275" t="str">
        <f t="shared" si="4"/>
        <v xml:space="preserve">Foot-pounds  &lt;&lt;&lt;&gt;&gt;&gt; BTU </v>
      </c>
      <c r="W275" t="s">
        <v>389</v>
      </c>
      <c r="X275" t="s">
        <v>1133</v>
      </c>
      <c r="Y275">
        <v>1.286E-3</v>
      </c>
    </row>
    <row r="276" spans="1:25">
      <c r="B276" s="287">
        <v>0.36220000000000002</v>
      </c>
      <c r="D276" s="1">
        <v>9.1999999999999993</v>
      </c>
      <c r="F276" s="279">
        <v>0.84379999999999999</v>
      </c>
      <c r="G276" s="280" t="s">
        <v>942</v>
      </c>
      <c r="I276" s="279">
        <v>4.3000000000000003E-2</v>
      </c>
      <c r="J276" s="280">
        <v>57</v>
      </c>
      <c r="V276" t="str">
        <f t="shared" si="4"/>
        <v xml:space="preserve">Foot-pounds  &lt;&lt;&lt;&gt;&gt;&gt; Ergs </v>
      </c>
      <c r="W276" t="s">
        <v>389</v>
      </c>
      <c r="X276" t="s">
        <v>1134</v>
      </c>
      <c r="Y276">
        <v>13600000</v>
      </c>
    </row>
    <row r="277" spans="1:25">
      <c r="B277" s="287">
        <v>0.36420000000000002</v>
      </c>
      <c r="D277" s="1">
        <v>9.25</v>
      </c>
      <c r="F277" s="279">
        <v>0.85940000000000005</v>
      </c>
      <c r="G277" s="280" t="s">
        <v>945</v>
      </c>
      <c r="I277" s="279">
        <v>4.2000000000000003E-2</v>
      </c>
      <c r="J277" s="280">
        <v>58</v>
      </c>
      <c r="V277" t="str">
        <f t="shared" si="4"/>
        <v xml:space="preserve">Foot-pounds  &lt;&lt;&lt;&gt;&gt;&gt; Gram-Calories </v>
      </c>
      <c r="W277" t="s">
        <v>389</v>
      </c>
      <c r="X277" t="s">
        <v>1136</v>
      </c>
      <c r="Y277">
        <v>0.32379999999999998</v>
      </c>
    </row>
    <row r="278" spans="1:25">
      <c r="B278" s="287">
        <v>0.36609999999999998</v>
      </c>
      <c r="D278" s="1">
        <v>9.3000000000000007</v>
      </c>
      <c r="F278" s="279">
        <v>0.875</v>
      </c>
      <c r="G278" s="280" t="s">
        <v>947</v>
      </c>
      <c r="I278" s="279">
        <v>4.1000000000000002E-2</v>
      </c>
      <c r="J278" s="280">
        <v>59</v>
      </c>
      <c r="V278" t="str">
        <f t="shared" si="4"/>
        <v xml:space="preserve">Foot-pounds  &lt;&lt;&lt;&gt;&gt;&gt; hp-Hours </v>
      </c>
      <c r="W278" t="s">
        <v>389</v>
      </c>
      <c r="X278" t="s">
        <v>390</v>
      </c>
      <c r="Y278">
        <v>5.0500000000000004E-7</v>
      </c>
    </row>
    <row r="279" spans="1:25">
      <c r="B279" s="287">
        <v>0.36799999999999999</v>
      </c>
      <c r="C279" s="168" t="s">
        <v>948</v>
      </c>
      <c r="F279" s="279">
        <v>0.89059999999999995</v>
      </c>
      <c r="G279" s="280" t="s">
        <v>950</v>
      </c>
      <c r="I279" s="279">
        <v>0.04</v>
      </c>
      <c r="J279" s="280">
        <v>60</v>
      </c>
      <c r="V279" t="str">
        <f t="shared" si="4"/>
        <v xml:space="preserve">Foot-pounds  &lt;&lt;&lt;&gt;&gt;&gt; Joules </v>
      </c>
      <c r="W279" t="s">
        <v>389</v>
      </c>
      <c r="X279" t="s">
        <v>1138</v>
      </c>
      <c r="Y279">
        <v>1.3560000000000001</v>
      </c>
    </row>
    <row r="280" spans="1:25">
      <c r="B280" s="287">
        <v>0.37009999999999998</v>
      </c>
      <c r="D280" s="1">
        <v>9.4</v>
      </c>
      <c r="F280" s="279">
        <v>0.90620000000000001</v>
      </c>
      <c r="G280" s="280" t="s">
        <v>146</v>
      </c>
      <c r="I280" s="279">
        <v>3.9E-2</v>
      </c>
      <c r="J280" s="280">
        <v>61</v>
      </c>
      <c r="V280" t="str">
        <f t="shared" si="4"/>
        <v xml:space="preserve">Foot-pounds  &lt;&lt;&lt;&gt;&gt;&gt; Kilogram-Calories </v>
      </c>
      <c r="W280" t="s">
        <v>389</v>
      </c>
      <c r="X280" t="s">
        <v>1139</v>
      </c>
      <c r="Y280">
        <v>3.2400000000000001E-4</v>
      </c>
    </row>
    <row r="281" spans="1:25">
      <c r="B281" s="287">
        <v>0.374</v>
      </c>
      <c r="D281" s="1">
        <v>9.5</v>
      </c>
      <c r="F281" s="279">
        <v>0.92190000000000005</v>
      </c>
      <c r="G281" s="280" t="s">
        <v>149</v>
      </c>
      <c r="I281" s="279">
        <v>3.7999999999999999E-2</v>
      </c>
      <c r="J281" s="280">
        <v>62</v>
      </c>
      <c r="V281" t="str">
        <f t="shared" si="4"/>
        <v xml:space="preserve">Foot-pounds  &lt;&lt;&lt;&gt;&gt;&gt; Kilowatt-Hours </v>
      </c>
      <c r="W281" t="s">
        <v>389</v>
      </c>
      <c r="X281" t="s">
        <v>1141</v>
      </c>
      <c r="Y281">
        <v>3.77E-7</v>
      </c>
    </row>
    <row r="282" spans="1:25">
      <c r="A282" s="168" t="s">
        <v>145</v>
      </c>
      <c r="B282" s="287">
        <v>0.375</v>
      </c>
      <c r="F282" s="279">
        <v>0.9375</v>
      </c>
      <c r="G282" s="280" t="s">
        <v>151</v>
      </c>
      <c r="I282" s="279">
        <v>3.6999999999999998E-2</v>
      </c>
      <c r="J282" s="280">
        <v>63</v>
      </c>
      <c r="V282" t="str">
        <f t="shared" si="4"/>
        <v xml:space="preserve">Foot-pounds/Minute  &lt;&lt;&lt;&gt;&gt;&gt; BTU/Minute </v>
      </c>
      <c r="W282" t="s">
        <v>391</v>
      </c>
      <c r="X282" t="s">
        <v>230</v>
      </c>
      <c r="Y282">
        <v>1.286E-3</v>
      </c>
    </row>
    <row r="283" spans="1:25">
      <c r="B283" s="287">
        <v>0.377</v>
      </c>
      <c r="C283" s="168" t="s">
        <v>148</v>
      </c>
      <c r="F283" s="279">
        <v>0.95309999999999995</v>
      </c>
      <c r="G283" s="280" t="s">
        <v>153</v>
      </c>
      <c r="I283" s="279">
        <v>3.5999999999999997E-2</v>
      </c>
      <c r="J283" s="280">
        <v>64</v>
      </c>
      <c r="V283" t="str">
        <f t="shared" si="4"/>
        <v xml:space="preserve">Foot-pounds/Minute  &lt;&lt;&lt;&gt;&gt;&gt; Foot-pounds/Second </v>
      </c>
      <c r="W283" t="s">
        <v>391</v>
      </c>
      <c r="X283" t="s">
        <v>227</v>
      </c>
      <c r="Y283">
        <v>1.6670000000000001E-2</v>
      </c>
    </row>
    <row r="284" spans="1:25">
      <c r="B284" s="287">
        <v>0.378</v>
      </c>
      <c r="D284" s="1">
        <v>9.6</v>
      </c>
      <c r="F284" s="279">
        <v>0.96879999999999999</v>
      </c>
      <c r="G284" s="280" t="s">
        <v>156</v>
      </c>
      <c r="I284" s="279">
        <v>3.5000000000000003E-2</v>
      </c>
      <c r="J284" s="280">
        <v>65</v>
      </c>
      <c r="V284" t="str">
        <f t="shared" si="4"/>
        <v xml:space="preserve">Foot-pounds/Minute  &lt;&lt;&lt;&gt;&gt;&gt; HorsePower </v>
      </c>
      <c r="W284" t="s">
        <v>391</v>
      </c>
      <c r="X284" t="s">
        <v>232</v>
      </c>
      <c r="Y284">
        <v>3.0300000000000001E-5</v>
      </c>
    </row>
    <row r="285" spans="1:25">
      <c r="B285" s="287">
        <v>0.38190000000000002</v>
      </c>
      <c r="D285" s="1">
        <v>9.6999999999999993</v>
      </c>
      <c r="F285" s="279">
        <v>0.98440000000000005</v>
      </c>
      <c r="G285" s="280" t="s">
        <v>161</v>
      </c>
      <c r="I285" s="279">
        <v>3.3000000000000002E-2</v>
      </c>
      <c r="J285" s="280">
        <v>66</v>
      </c>
      <c r="V285" t="str">
        <f t="shared" si="4"/>
        <v xml:space="preserve">Foot-pounds/Minute  &lt;&lt;&lt;&gt;&gt;&gt; Kilowatts </v>
      </c>
      <c r="W285" t="s">
        <v>391</v>
      </c>
      <c r="X285" t="s">
        <v>233</v>
      </c>
      <c r="Y285">
        <v>2.26E-5</v>
      </c>
    </row>
    <row r="286" spans="1:25">
      <c r="B286" s="287">
        <v>0.38390000000000002</v>
      </c>
      <c r="D286" s="1">
        <v>9.75</v>
      </c>
      <c r="F286" s="279">
        <v>1</v>
      </c>
      <c r="G286" s="280" t="s">
        <v>163</v>
      </c>
      <c r="I286" s="279">
        <v>3.2000000000000001E-2</v>
      </c>
      <c r="J286" s="280">
        <v>67</v>
      </c>
      <c r="V286" t="str">
        <f t="shared" si="4"/>
        <v xml:space="preserve">Foot-pounds/Second  &lt;&lt;&lt;&gt;&gt;&gt; BTU/Hour </v>
      </c>
      <c r="W286" t="s">
        <v>227</v>
      </c>
      <c r="X286" t="s">
        <v>1142</v>
      </c>
      <c r="Y286">
        <v>4.6262999999999996</v>
      </c>
    </row>
    <row r="287" spans="1:25">
      <c r="B287" s="287">
        <v>0.38579999999999998</v>
      </c>
      <c r="D287" s="1">
        <v>9.8000000000000007</v>
      </c>
      <c r="F287" s="279">
        <v>1.0156000000000001</v>
      </c>
      <c r="G287" s="280" t="s">
        <v>166</v>
      </c>
      <c r="I287" s="279">
        <v>3.1199999999999999E-2</v>
      </c>
      <c r="J287" s="280" t="s">
        <v>954</v>
      </c>
      <c r="V287" t="str">
        <f t="shared" si="4"/>
        <v xml:space="preserve">Foot-pounds/Second  &lt;&lt;&lt;&gt;&gt;&gt; BTU/Minute </v>
      </c>
      <c r="W287" t="s">
        <v>227</v>
      </c>
      <c r="X287" t="s">
        <v>230</v>
      </c>
      <c r="Y287">
        <v>7.7170000000000002E-2</v>
      </c>
    </row>
    <row r="288" spans="1:25">
      <c r="B288" s="287">
        <v>0.38600000000000001</v>
      </c>
      <c r="C288" s="168" t="s">
        <v>155</v>
      </c>
      <c r="F288" s="279">
        <v>1.0311999999999999</v>
      </c>
      <c r="G288" s="280" t="s">
        <v>168</v>
      </c>
      <c r="I288" s="279">
        <v>3.1E-2</v>
      </c>
      <c r="J288" s="280">
        <v>68</v>
      </c>
      <c r="V288" t="str">
        <f t="shared" si="4"/>
        <v xml:space="preserve">Foot-pounds/Second  &lt;&lt;&lt;&gt;&gt;&gt; HorsePower </v>
      </c>
      <c r="W288" t="s">
        <v>227</v>
      </c>
      <c r="X288" t="s">
        <v>232</v>
      </c>
      <c r="Y288">
        <v>8.1800000000000004E-4</v>
      </c>
    </row>
    <row r="289" spans="1:25">
      <c r="B289" s="287">
        <v>0.38979999999999998</v>
      </c>
      <c r="D289" s="1">
        <v>9.9</v>
      </c>
      <c r="F289" s="279">
        <v>1.0468999999999999</v>
      </c>
      <c r="G289" s="280" t="s">
        <v>171</v>
      </c>
      <c r="I289" s="279">
        <v>2.92E-2</v>
      </c>
      <c r="J289" s="280">
        <v>69</v>
      </c>
      <c r="V289" t="str">
        <f t="shared" si="4"/>
        <v xml:space="preserve">Foot-pounds/Second  &lt;&lt;&lt;&gt;&gt;&gt; Kilowatts </v>
      </c>
      <c r="W289" t="s">
        <v>227</v>
      </c>
      <c r="X289" t="s">
        <v>233</v>
      </c>
      <c r="Y289">
        <v>1.356E-3</v>
      </c>
    </row>
    <row r="290" spans="1:25">
      <c r="A290" s="168" t="s">
        <v>158</v>
      </c>
      <c r="B290" s="287">
        <v>0.3906</v>
      </c>
      <c r="F290" s="279">
        <v>1.0625</v>
      </c>
      <c r="G290" s="280" t="s">
        <v>173</v>
      </c>
      <c r="I290" s="279">
        <v>2.8000000000000001E-2</v>
      </c>
      <c r="J290" s="280">
        <v>70</v>
      </c>
      <c r="V290" t="str">
        <f t="shared" si="4"/>
        <v>Furlongs &lt;&lt;&lt;&gt;&gt;&gt; Feet</v>
      </c>
      <c r="W290" t="s">
        <v>392</v>
      </c>
      <c r="X290" t="s">
        <v>62</v>
      </c>
      <c r="Y290">
        <v>660</v>
      </c>
    </row>
    <row r="291" spans="1:25">
      <c r="B291" s="287">
        <v>0.39369999999999999</v>
      </c>
      <c r="D291" s="1">
        <v>10</v>
      </c>
      <c r="F291" s="279">
        <v>1.0781000000000001</v>
      </c>
      <c r="G291" s="280" t="s">
        <v>176</v>
      </c>
      <c r="I291" s="279">
        <v>2.5999999999999999E-2</v>
      </c>
      <c r="J291" s="280">
        <v>71</v>
      </c>
      <c r="V291" t="str">
        <f t="shared" si="4"/>
        <v>Furlongs &lt;&lt;&lt;&gt;&gt;&gt; Miles</v>
      </c>
      <c r="W291" t="s">
        <v>392</v>
      </c>
      <c r="X291" t="s">
        <v>68</v>
      </c>
      <c r="Y291">
        <v>0.125</v>
      </c>
    </row>
    <row r="292" spans="1:25">
      <c r="B292" s="287">
        <v>0.39700000000000002</v>
      </c>
      <c r="C292" s="168" t="s">
        <v>120</v>
      </c>
      <c r="F292" s="279">
        <v>1.0938000000000001</v>
      </c>
      <c r="G292" s="280" t="s">
        <v>181</v>
      </c>
      <c r="I292" s="279">
        <v>2.5000000000000001E-2</v>
      </c>
      <c r="J292" s="280">
        <v>72</v>
      </c>
      <c r="V292" t="str">
        <f t="shared" si="4"/>
        <v>Furlongs &lt;&lt;&lt;&gt;&gt;&gt; Rods</v>
      </c>
      <c r="W292" t="s">
        <v>392</v>
      </c>
      <c r="X292" t="s">
        <v>393</v>
      </c>
      <c r="Y292">
        <v>40</v>
      </c>
    </row>
    <row r="293" spans="1:25">
      <c r="B293" s="287">
        <v>0.40400000000000003</v>
      </c>
      <c r="C293" s="168" t="s">
        <v>101</v>
      </c>
      <c r="F293" s="279">
        <v>1.1093999999999999</v>
      </c>
      <c r="G293" s="280" t="s">
        <v>184</v>
      </c>
      <c r="I293" s="279">
        <v>2.4E-2</v>
      </c>
      <c r="J293" s="280">
        <v>73</v>
      </c>
      <c r="V293" t="str">
        <f t="shared" si="4"/>
        <v xml:space="preserve">Gallon (U.K. liquid) &lt;&lt;&lt;&gt;&gt;&gt; Cubic Meters </v>
      </c>
      <c r="W293" t="s">
        <v>325</v>
      </c>
      <c r="X293" t="s">
        <v>238</v>
      </c>
      <c r="Y293">
        <v>4.5460919999999998E-3</v>
      </c>
    </row>
    <row r="294" spans="1:25">
      <c r="A294" s="168" t="s">
        <v>165</v>
      </c>
      <c r="B294" s="287">
        <v>0.40620000000000001</v>
      </c>
      <c r="F294" s="279">
        <v>1.125</v>
      </c>
      <c r="G294" s="280" t="s">
        <v>187</v>
      </c>
      <c r="I294" s="279">
        <v>2.2499999999999999E-2</v>
      </c>
      <c r="J294" s="280">
        <v>74</v>
      </c>
      <c r="V294" t="str">
        <f t="shared" si="4"/>
        <v xml:space="preserve">Gallon (U.K. liquid) &lt;&lt;&lt;&gt;&gt;&gt; Liters </v>
      </c>
      <c r="W294" t="s">
        <v>325</v>
      </c>
      <c r="X294" t="s">
        <v>239</v>
      </c>
      <c r="Y294">
        <v>4.5460919999999998</v>
      </c>
    </row>
    <row r="295" spans="1:25">
      <c r="B295" s="287">
        <v>0.41300000000000003</v>
      </c>
      <c r="C295" s="168" t="s">
        <v>102</v>
      </c>
      <c r="F295" s="279">
        <v>1.1406000000000001</v>
      </c>
      <c r="G295" s="280" t="s">
        <v>190</v>
      </c>
      <c r="I295" s="279">
        <v>2.1000000000000001E-2</v>
      </c>
      <c r="J295" s="280">
        <v>75</v>
      </c>
      <c r="V295" t="str">
        <f t="shared" si="4"/>
        <v xml:space="preserve">Gallon (U.S. liquid) &lt;&lt;&lt;&gt;&gt;&gt; Cubic Meters </v>
      </c>
      <c r="W295" t="s">
        <v>394</v>
      </c>
      <c r="X295" t="s">
        <v>238</v>
      </c>
      <c r="Y295">
        <v>3.7854120000000002E-3</v>
      </c>
    </row>
    <row r="296" spans="1:25">
      <c r="B296" s="287">
        <v>0.41339999999999999</v>
      </c>
      <c r="D296" s="1">
        <v>10.5</v>
      </c>
      <c r="F296" s="279">
        <v>1.1561999999999999</v>
      </c>
      <c r="G296" s="280" t="s">
        <v>192</v>
      </c>
      <c r="I296" s="279">
        <v>0.02</v>
      </c>
      <c r="J296" s="280">
        <v>76</v>
      </c>
      <c r="V296" t="str">
        <f t="shared" si="4"/>
        <v xml:space="preserve">Gallon (U.S. liquid) &lt;&lt;&lt;&gt;&gt;&gt; Liters </v>
      </c>
      <c r="W296" t="s">
        <v>394</v>
      </c>
      <c r="X296" t="s">
        <v>239</v>
      </c>
      <c r="Y296">
        <v>3.785412</v>
      </c>
    </row>
    <row r="297" spans="1:25">
      <c r="A297" s="168" t="s">
        <v>169</v>
      </c>
      <c r="B297" s="287">
        <v>0.4219</v>
      </c>
      <c r="F297" s="279">
        <v>1.1718999999999999</v>
      </c>
      <c r="G297" s="280" t="s">
        <v>195</v>
      </c>
      <c r="I297" s="279">
        <v>1.7999999999999999E-2</v>
      </c>
      <c r="J297" s="280">
        <v>77</v>
      </c>
      <c r="V297" t="str">
        <f t="shared" si="4"/>
        <v xml:space="preserve">Gallons (liq. British imp.)  &lt;&lt;&lt;&gt;&gt;&gt; Gallons (US liq.) </v>
      </c>
      <c r="W297" t="s">
        <v>395</v>
      </c>
      <c r="X297" t="s">
        <v>307</v>
      </c>
      <c r="Y297">
        <v>1.20095</v>
      </c>
    </row>
    <row r="298" spans="1:25">
      <c r="B298" s="287">
        <v>0.43309999999999998</v>
      </c>
      <c r="D298" s="1">
        <v>11</v>
      </c>
      <c r="F298" s="279">
        <v>1.1875</v>
      </c>
      <c r="G298" s="280" t="s">
        <v>199</v>
      </c>
      <c r="I298" s="279">
        <v>1.6E-2</v>
      </c>
      <c r="J298" s="280">
        <v>78</v>
      </c>
      <c r="V298" t="str">
        <f t="shared" si="4"/>
        <v>Gallons (U.K. liquid) per Minute &lt;&lt;&lt;&gt;&gt;&gt; Cubic Meters per Minute</v>
      </c>
      <c r="W298" t="s">
        <v>327</v>
      </c>
      <c r="X298" t="s">
        <v>326</v>
      </c>
      <c r="Y298">
        <v>4.5460919999999998E-3</v>
      </c>
    </row>
    <row r="299" spans="1:25">
      <c r="A299" s="168" t="s">
        <v>172</v>
      </c>
      <c r="B299" s="287">
        <v>0.4375</v>
      </c>
      <c r="F299" s="279">
        <v>1.2031000000000001</v>
      </c>
      <c r="G299" s="280" t="s">
        <v>203</v>
      </c>
      <c r="I299" s="279">
        <v>1.5599999999999999E-2</v>
      </c>
      <c r="J299" s="280" t="s">
        <v>953</v>
      </c>
      <c r="V299" t="str">
        <f t="shared" si="4"/>
        <v>Gallons (U.K. liquid) per Minute &lt;&lt;&lt;&gt;&gt;&gt; Cubic Meters per Second</v>
      </c>
      <c r="W299" t="s">
        <v>327</v>
      </c>
      <c r="X299" t="s">
        <v>311</v>
      </c>
      <c r="Y299">
        <v>7.5768199999999997E-5</v>
      </c>
    </row>
    <row r="300" spans="1:25">
      <c r="B300" s="287">
        <v>0.45279999999999998</v>
      </c>
      <c r="D300" s="1">
        <v>11.5</v>
      </c>
      <c r="F300" s="279">
        <v>1.2188000000000001</v>
      </c>
      <c r="G300" s="280" t="s">
        <v>205</v>
      </c>
      <c r="I300" s="279">
        <v>1.4500000000000001E-2</v>
      </c>
      <c r="J300" s="280">
        <v>79</v>
      </c>
      <c r="V300" t="str">
        <f t="shared" si="4"/>
        <v>Gallons (U.S. liquid) per Minute &lt;&lt;&lt;&gt;&gt;&gt; Cubic Meters per Minute</v>
      </c>
      <c r="W300" t="s">
        <v>328</v>
      </c>
      <c r="X300" t="s">
        <v>326</v>
      </c>
      <c r="Y300">
        <v>3.7854120000000002E-3</v>
      </c>
    </row>
    <row r="301" spans="1:25">
      <c r="A301" s="168" t="s">
        <v>175</v>
      </c>
      <c r="B301" s="287">
        <v>0.4531</v>
      </c>
      <c r="F301" s="279">
        <v>1.2343999999999999</v>
      </c>
      <c r="G301" s="280" t="s">
        <v>208</v>
      </c>
      <c r="I301" s="279">
        <v>1.35E-2</v>
      </c>
      <c r="J301" s="280">
        <v>80</v>
      </c>
      <c r="V301" t="str">
        <f t="shared" si="4"/>
        <v>Gallons (U.S. liquid) per Minute &lt;&lt;&lt;&gt;&gt;&gt; Cubic Meters per Second</v>
      </c>
      <c r="W301" t="s">
        <v>328</v>
      </c>
      <c r="X301" t="s">
        <v>311</v>
      </c>
      <c r="Y301">
        <v>6.3090199999999994E-5</v>
      </c>
    </row>
    <row r="302" spans="1:25">
      <c r="A302" s="168" t="s">
        <v>178</v>
      </c>
      <c r="B302" s="287">
        <v>0.46879999999999999</v>
      </c>
      <c r="F302" s="279">
        <v>1.25</v>
      </c>
      <c r="G302" s="280" t="s">
        <v>210</v>
      </c>
      <c r="I302" s="279">
        <v>1.2999999999999999E-2</v>
      </c>
      <c r="J302" s="280">
        <v>81</v>
      </c>
      <c r="V302" t="str">
        <f t="shared" si="4"/>
        <v>Gallons (U.S. liquid) per Minute &lt;&lt;&lt;&gt;&gt;&gt; Liters per Minute</v>
      </c>
      <c r="W302" t="s">
        <v>328</v>
      </c>
      <c r="X302" t="s">
        <v>312</v>
      </c>
      <c r="Y302">
        <v>3.785412</v>
      </c>
    </row>
    <row r="303" spans="1:25">
      <c r="B303" s="287">
        <v>0.47239999999999999</v>
      </c>
      <c r="D303" s="1">
        <v>12</v>
      </c>
      <c r="F303" s="279">
        <v>1.2656000000000001</v>
      </c>
      <c r="G303" s="280" t="s">
        <v>213</v>
      </c>
      <c r="I303" s="279">
        <v>1.2500000000000001E-2</v>
      </c>
      <c r="J303" s="280">
        <v>82</v>
      </c>
      <c r="V303" t="str">
        <f t="shared" si="4"/>
        <v>Gallons (U.S. liquid) per Minute &lt;&lt;&lt;&gt;&gt;&gt; Liters per Second</v>
      </c>
      <c r="W303" t="s">
        <v>328</v>
      </c>
      <c r="X303" t="s">
        <v>396</v>
      </c>
      <c r="Y303">
        <v>6.3090199999999999E-2</v>
      </c>
    </row>
    <row r="304" spans="1:25">
      <c r="A304" s="168" t="s">
        <v>182</v>
      </c>
      <c r="B304" s="287">
        <v>0.4844</v>
      </c>
      <c r="F304" s="279">
        <v>1.2811999999999999</v>
      </c>
      <c r="G304" s="280" t="s">
        <v>217</v>
      </c>
      <c r="I304" s="279">
        <v>1.2E-2</v>
      </c>
      <c r="J304" s="280">
        <v>83</v>
      </c>
      <c r="V304" t="str">
        <f t="shared" si="4"/>
        <v xml:space="preserve">Gallons (US)  &lt;&lt;&lt;&gt;&gt;&gt; Gallons (imp.) </v>
      </c>
      <c r="W304" t="s">
        <v>397</v>
      </c>
      <c r="X304" t="s">
        <v>398</v>
      </c>
      <c r="Y304">
        <v>0.83267000000000002</v>
      </c>
    </row>
    <row r="305" spans="1:25">
      <c r="B305" s="287">
        <v>0.49209999999999998</v>
      </c>
      <c r="D305" s="1">
        <v>12.5</v>
      </c>
      <c r="F305" s="279">
        <v>1.2968999999999999</v>
      </c>
      <c r="G305" s="280" t="s">
        <v>219</v>
      </c>
      <c r="I305" s="279">
        <v>1.15E-2</v>
      </c>
      <c r="J305" s="280">
        <v>84</v>
      </c>
      <c r="V305" t="str">
        <f t="shared" si="4"/>
        <v xml:space="preserve">Gallons/Minute  &lt;&lt;&lt;&gt;&gt;&gt; Cubic Feet/Hour </v>
      </c>
      <c r="W305" t="s">
        <v>319</v>
      </c>
      <c r="X305" t="s">
        <v>399</v>
      </c>
      <c r="Y305">
        <v>8.0207999999999995</v>
      </c>
    </row>
    <row r="306" spans="1:25">
      <c r="A306" s="168" t="s">
        <v>185</v>
      </c>
      <c r="B306" s="287">
        <v>0.5</v>
      </c>
      <c r="F306" s="279">
        <v>1.3125</v>
      </c>
      <c r="G306" s="280" t="s">
        <v>222</v>
      </c>
      <c r="I306" s="279">
        <v>1.0999999999999999E-2</v>
      </c>
      <c r="J306" s="280">
        <v>85</v>
      </c>
      <c r="V306" t="str">
        <f t="shared" si="4"/>
        <v xml:space="preserve">Gallons/Minute  &lt;&lt;&lt;&gt;&gt;&gt; Cubic Feet/Second </v>
      </c>
      <c r="W306" t="s">
        <v>319</v>
      </c>
      <c r="X306" t="s">
        <v>318</v>
      </c>
      <c r="Y306">
        <v>2.2279999999999999E-3</v>
      </c>
    </row>
    <row r="307" spans="1:25">
      <c r="B307" s="287">
        <v>0.51180000000000003</v>
      </c>
      <c r="D307" s="1">
        <v>13</v>
      </c>
      <c r="F307" s="279">
        <v>1.3281000000000001</v>
      </c>
      <c r="G307" s="280" t="s">
        <v>224</v>
      </c>
      <c r="I307" s="279">
        <v>1.0500000000000001E-2</v>
      </c>
      <c r="J307" s="280">
        <v>86</v>
      </c>
      <c r="V307" t="str">
        <f t="shared" si="4"/>
        <v xml:space="preserve">Gallons/Minute  &lt;&lt;&lt;&gt;&gt;&gt; Liters/Second </v>
      </c>
      <c r="W307" t="s">
        <v>319</v>
      </c>
      <c r="X307" t="s">
        <v>316</v>
      </c>
      <c r="Y307">
        <v>0.63080000000000003</v>
      </c>
    </row>
    <row r="308" spans="1:25">
      <c r="A308" s="168" t="s">
        <v>189</v>
      </c>
      <c r="B308" s="287">
        <v>0.51559999999999995</v>
      </c>
      <c r="F308" s="279">
        <v>1.3438000000000001</v>
      </c>
      <c r="G308" s="280" t="s">
        <v>919</v>
      </c>
      <c r="I308" s="279">
        <v>0.01</v>
      </c>
      <c r="J308" s="280">
        <v>87</v>
      </c>
      <c r="V308" t="str">
        <f t="shared" si="4"/>
        <v xml:space="preserve">Gilberts  &lt;&lt;&lt;&gt;&gt;&gt; Ampere-turns </v>
      </c>
      <c r="W308" t="s">
        <v>1106</v>
      </c>
      <c r="X308" t="s">
        <v>1105</v>
      </c>
      <c r="Y308">
        <v>0.79579999999999995</v>
      </c>
    </row>
    <row r="309" spans="1:25">
      <c r="A309" s="168" t="s">
        <v>191</v>
      </c>
      <c r="B309" s="287">
        <v>0.53120000000000001</v>
      </c>
      <c r="F309" s="279">
        <v>1.3593999999999999</v>
      </c>
      <c r="G309" s="280" t="s">
        <v>923</v>
      </c>
      <c r="I309" s="279">
        <v>9.4999999999999998E-3</v>
      </c>
      <c r="J309" s="280">
        <v>88</v>
      </c>
      <c r="V309" t="str">
        <f t="shared" si="4"/>
        <v xml:space="preserve">Gilberts/Centimeters  &lt;&lt;&lt;&gt;&gt;&gt; amp-turns/Centimeters </v>
      </c>
      <c r="W309" t="s">
        <v>400</v>
      </c>
      <c r="X309" t="s">
        <v>401</v>
      </c>
      <c r="Y309">
        <v>0.79579999999999995</v>
      </c>
    </row>
    <row r="310" spans="1:25">
      <c r="B310" s="287">
        <v>0.53149999999999997</v>
      </c>
      <c r="D310" s="1">
        <v>13.5</v>
      </c>
      <c r="F310" s="279">
        <v>1.375</v>
      </c>
      <c r="G310" s="280" t="s">
        <v>925</v>
      </c>
      <c r="I310" s="279">
        <v>9.1000000000000004E-3</v>
      </c>
      <c r="J310" s="280">
        <v>89</v>
      </c>
      <c r="V310" t="str">
        <f t="shared" si="4"/>
        <v xml:space="preserve">Gilberts/Centimeters  &lt;&lt;&lt;&gt;&gt;&gt; amp-turns/in </v>
      </c>
      <c r="W310" t="s">
        <v>400</v>
      </c>
      <c r="X310" t="s">
        <v>402</v>
      </c>
      <c r="Y310">
        <v>2.0209999999999999</v>
      </c>
    </row>
    <row r="311" spans="1:25">
      <c r="A311" s="168" t="s">
        <v>193</v>
      </c>
      <c r="B311" s="287">
        <v>0.54690000000000005</v>
      </c>
      <c r="F311" s="279">
        <v>1.3906000000000001</v>
      </c>
      <c r="G311" s="280" t="s">
        <v>928</v>
      </c>
      <c r="I311" s="279">
        <v>8.6999999999999994E-3</v>
      </c>
      <c r="J311" s="280">
        <v>90</v>
      </c>
      <c r="V311" t="str">
        <f t="shared" si="4"/>
        <v xml:space="preserve">Gilberts/Centimeters  &lt;&lt;&lt;&gt;&gt;&gt; amp-turns/Meter </v>
      </c>
      <c r="W311" t="s">
        <v>400</v>
      </c>
      <c r="X311" t="s">
        <v>403</v>
      </c>
      <c r="Y311">
        <v>79.581000000000003</v>
      </c>
    </row>
    <row r="312" spans="1:25">
      <c r="B312" s="287">
        <v>0.55120000000000002</v>
      </c>
      <c r="D312" s="1">
        <v>14</v>
      </c>
      <c r="F312" s="279">
        <v>1.4061999999999999</v>
      </c>
      <c r="G312" s="280" t="s">
        <v>931</v>
      </c>
      <c r="I312" s="279">
        <v>8.3000000000000001E-3</v>
      </c>
      <c r="J312" s="280">
        <v>91</v>
      </c>
      <c r="V312" t="str">
        <f t="shared" si="4"/>
        <v xml:space="preserve">Gills  &lt;&lt;&lt;&gt;&gt;&gt; Liters </v>
      </c>
      <c r="W312" t="s">
        <v>404</v>
      </c>
      <c r="X312" t="s">
        <v>239</v>
      </c>
      <c r="Y312">
        <v>0.1183</v>
      </c>
    </row>
    <row r="313" spans="1:25">
      <c r="A313" s="168" t="s">
        <v>196</v>
      </c>
      <c r="B313" s="287">
        <v>0.5625</v>
      </c>
      <c r="F313" s="279">
        <v>1.4218999999999999</v>
      </c>
      <c r="G313" s="280" t="s">
        <v>934</v>
      </c>
      <c r="I313" s="279">
        <v>7.9000000000000008E-3</v>
      </c>
      <c r="J313" s="280">
        <v>92</v>
      </c>
      <c r="V313" t="str">
        <f t="shared" si="4"/>
        <v xml:space="preserve">Gills  &lt;&lt;&lt;&gt;&gt;&gt; Pints (liq.) </v>
      </c>
      <c r="W313" t="s">
        <v>404</v>
      </c>
      <c r="X313" t="s">
        <v>405</v>
      </c>
      <c r="Y313">
        <v>0.25</v>
      </c>
    </row>
    <row r="314" spans="1:25">
      <c r="B314" s="287">
        <v>0.57089999999999996</v>
      </c>
      <c r="D314" s="1">
        <v>14.5</v>
      </c>
      <c r="F314" s="279">
        <v>1.4375</v>
      </c>
      <c r="G314" s="280" t="s">
        <v>936</v>
      </c>
      <c r="I314" s="279">
        <v>7.4999999999999997E-3</v>
      </c>
      <c r="J314" s="280">
        <v>93</v>
      </c>
      <c r="V314" t="str">
        <f t="shared" si="4"/>
        <v xml:space="preserve">Gills (British)  &lt;&lt;&lt;&gt;&gt;&gt; Cubic cm </v>
      </c>
      <c r="W314" t="s">
        <v>406</v>
      </c>
      <c r="X314" t="s">
        <v>407</v>
      </c>
      <c r="Y314">
        <v>142.07</v>
      </c>
    </row>
    <row r="315" spans="1:25">
      <c r="A315" s="168" t="s">
        <v>200</v>
      </c>
      <c r="B315" s="287">
        <v>0.57809999999999995</v>
      </c>
      <c r="F315" s="279">
        <v>1.4531000000000001</v>
      </c>
      <c r="G315" s="280" t="s">
        <v>941</v>
      </c>
      <c r="I315" s="279">
        <v>7.1000000000000004E-3</v>
      </c>
      <c r="J315" s="280">
        <v>94</v>
      </c>
      <c r="V315" t="str">
        <f t="shared" si="4"/>
        <v>Grains (1/7000 lb. avoirdupois) &lt;&lt;&lt;&gt;&gt;&gt; Grams</v>
      </c>
      <c r="W315" t="s">
        <v>408</v>
      </c>
      <c r="X315" t="s">
        <v>78</v>
      </c>
      <c r="Y315">
        <v>6.4798910000000001E-2</v>
      </c>
    </row>
    <row r="316" spans="1:25">
      <c r="B316" s="287">
        <v>0.59060000000000001</v>
      </c>
      <c r="D316" s="1">
        <v>15</v>
      </c>
      <c r="F316" s="279">
        <v>1.4688000000000001</v>
      </c>
      <c r="G316" s="280" t="s">
        <v>944</v>
      </c>
      <c r="I316" s="279">
        <v>6.7000000000000002E-3</v>
      </c>
      <c r="J316" s="280">
        <v>95</v>
      </c>
      <c r="V316" t="str">
        <f t="shared" si="4"/>
        <v xml:space="preserve">Grains (troy)  &lt;&lt;&lt;&gt;&gt;&gt; Grains (avoirdupois) </v>
      </c>
      <c r="W316" t="s">
        <v>409</v>
      </c>
      <c r="X316" t="s">
        <v>410</v>
      </c>
      <c r="Y316">
        <v>1</v>
      </c>
    </row>
    <row r="317" spans="1:25">
      <c r="A317" s="168" t="s">
        <v>204</v>
      </c>
      <c r="B317" s="287">
        <v>0.59379999999999999</v>
      </c>
      <c r="F317" s="279">
        <v>1.4843999999999999</v>
      </c>
      <c r="G317" s="280" t="s">
        <v>946</v>
      </c>
      <c r="I317" s="279">
        <v>6.3E-3</v>
      </c>
      <c r="J317" s="280">
        <v>96</v>
      </c>
      <c r="V317" t="str">
        <f t="shared" si="4"/>
        <v xml:space="preserve">Grains (troy)  &lt;&lt;&lt;&gt;&gt;&gt; Grams </v>
      </c>
      <c r="W317" t="s">
        <v>409</v>
      </c>
      <c r="X317" t="s">
        <v>254</v>
      </c>
      <c r="Y317">
        <v>6.4799999999999996E-2</v>
      </c>
    </row>
    <row r="318" spans="1:25">
      <c r="A318" s="168" t="s">
        <v>207</v>
      </c>
      <c r="B318" s="287">
        <v>0.60940000000000005</v>
      </c>
      <c r="F318" s="279">
        <v>1.5</v>
      </c>
      <c r="G318" s="280" t="s">
        <v>949</v>
      </c>
      <c r="I318" s="279">
        <v>5.8999999999999999E-3</v>
      </c>
      <c r="J318" s="280">
        <v>97</v>
      </c>
      <c r="V318" t="str">
        <f t="shared" si="4"/>
        <v xml:space="preserve">Grains (troy)  &lt;&lt;&lt;&gt;&gt;&gt; Ounces (avoirdupois) </v>
      </c>
      <c r="W318" t="s">
        <v>409</v>
      </c>
      <c r="X318" t="s">
        <v>411</v>
      </c>
      <c r="Y318">
        <v>2.0833000000000002E-3</v>
      </c>
    </row>
    <row r="319" spans="1:25">
      <c r="B319" s="287">
        <v>0.61019999999999996</v>
      </c>
      <c r="D319" s="1">
        <v>15.5</v>
      </c>
      <c r="V319" t="str">
        <f t="shared" si="4"/>
        <v xml:space="preserve">Grains (troy)  &lt;&lt;&lt;&gt;&gt;&gt; Pennyweight (troy) </v>
      </c>
      <c r="W319" t="s">
        <v>409</v>
      </c>
      <c r="X319" t="s">
        <v>412</v>
      </c>
      <c r="Y319">
        <v>4.1669999999999999E-2</v>
      </c>
    </row>
    <row r="320" spans="1:25">
      <c r="A320" s="168" t="s">
        <v>209</v>
      </c>
      <c r="B320" s="287">
        <v>0.625</v>
      </c>
      <c r="V320" t="str">
        <f t="shared" si="4"/>
        <v>Grams &lt;&lt;&lt;&gt;&gt;&gt; Dynes</v>
      </c>
      <c r="W320" t="s">
        <v>78</v>
      </c>
      <c r="X320" t="s">
        <v>358</v>
      </c>
      <c r="Y320">
        <v>980.7</v>
      </c>
    </row>
    <row r="321" spans="1:25">
      <c r="B321" s="287">
        <v>0.62990000000000002</v>
      </c>
      <c r="D321" s="1">
        <v>16</v>
      </c>
      <c r="V321" t="str">
        <f t="shared" si="4"/>
        <v>Grams &lt;&lt;&lt;&gt;&gt;&gt; Grains</v>
      </c>
      <c r="W321" t="s">
        <v>78</v>
      </c>
      <c r="X321" t="s">
        <v>413</v>
      </c>
      <c r="Y321">
        <v>15.432359999999999</v>
      </c>
    </row>
    <row r="322" spans="1:25">
      <c r="A322" s="168" t="s">
        <v>211</v>
      </c>
      <c r="B322" s="287">
        <v>0.64059999999999995</v>
      </c>
      <c r="V322" t="str">
        <f t="shared" si="4"/>
        <v>Grams &lt;&lt;&lt;&gt;&gt;&gt; Kilograms (kg)</v>
      </c>
      <c r="W322" t="s">
        <v>78</v>
      </c>
      <c r="X322" t="s">
        <v>414</v>
      </c>
      <c r="Y322">
        <v>1E-3</v>
      </c>
    </row>
    <row r="323" spans="1:25">
      <c r="B323" s="287">
        <v>0.64959999999999996</v>
      </c>
      <c r="D323" s="1">
        <v>16.5</v>
      </c>
      <c r="V323" t="str">
        <f t="shared" ref="V323:V386" si="5">IF(W323="","",W323&amp;" &lt;&lt;&lt;&gt;&gt;&gt; "&amp;X323)</f>
        <v>Grams &lt;&lt;&lt;&gt;&gt;&gt; Ounces (avoirdupois)</v>
      </c>
      <c r="W323" t="s">
        <v>78</v>
      </c>
      <c r="X323" t="s">
        <v>415</v>
      </c>
      <c r="Y323">
        <v>3.5273970000000002E-2</v>
      </c>
    </row>
    <row r="324" spans="1:25">
      <c r="A324" s="168" t="s">
        <v>215</v>
      </c>
      <c r="B324" s="287">
        <v>0.65620000000000001</v>
      </c>
      <c r="V324" t="str">
        <f t="shared" si="5"/>
        <v>Grams &lt;&lt;&lt;&gt;&gt;&gt; Ounces (troy)</v>
      </c>
      <c r="W324" t="s">
        <v>78</v>
      </c>
      <c r="X324" t="s">
        <v>416</v>
      </c>
      <c r="Y324">
        <v>3.2150739999999997E-2</v>
      </c>
    </row>
    <row r="325" spans="1:25">
      <c r="B325" s="287">
        <v>0.66930000000000001</v>
      </c>
      <c r="D325" s="1">
        <v>17</v>
      </c>
      <c r="V325" t="str">
        <f t="shared" si="5"/>
        <v xml:space="preserve">Grams  &lt;&lt;&lt;&gt;&gt;&gt; Carat(metric) </v>
      </c>
      <c r="W325" t="s">
        <v>254</v>
      </c>
      <c r="X325" t="s">
        <v>417</v>
      </c>
      <c r="Y325">
        <v>5</v>
      </c>
    </row>
    <row r="326" spans="1:25">
      <c r="A326" s="168" t="s">
        <v>218</v>
      </c>
      <c r="B326" s="287">
        <v>0.67190000000000005</v>
      </c>
      <c r="V326" t="str">
        <f t="shared" si="5"/>
        <v xml:space="preserve">Grams  &lt;&lt;&lt;&gt;&gt;&gt; Dram </v>
      </c>
      <c r="W326" t="s">
        <v>254</v>
      </c>
      <c r="X326" t="s">
        <v>418</v>
      </c>
      <c r="Y326">
        <v>0.56438339000000004</v>
      </c>
    </row>
    <row r="327" spans="1:25">
      <c r="A327" s="168" t="s">
        <v>220</v>
      </c>
      <c r="B327" s="287">
        <v>0.6875</v>
      </c>
      <c r="V327" t="str">
        <f t="shared" si="5"/>
        <v xml:space="preserve">Grams  &lt;&lt;&lt;&gt;&gt;&gt; Dynes </v>
      </c>
      <c r="W327" t="s">
        <v>254</v>
      </c>
      <c r="X327" t="s">
        <v>363</v>
      </c>
      <c r="Y327">
        <v>980.7</v>
      </c>
    </row>
    <row r="328" spans="1:25">
      <c r="B328" s="287">
        <v>0.68900000000000006</v>
      </c>
      <c r="D328" s="1">
        <v>17.5</v>
      </c>
      <c r="V328" t="str">
        <f t="shared" si="5"/>
        <v xml:space="preserve">Grams  &lt;&lt;&lt;&gt;&gt;&gt; Grains </v>
      </c>
      <c r="W328" t="s">
        <v>254</v>
      </c>
      <c r="X328" t="s">
        <v>341</v>
      </c>
      <c r="Y328">
        <v>15.43</v>
      </c>
    </row>
    <row r="329" spans="1:25">
      <c r="A329" s="168" t="s">
        <v>223</v>
      </c>
      <c r="B329" s="287">
        <v>0.70309999999999995</v>
      </c>
      <c r="V329" t="str">
        <f t="shared" si="5"/>
        <v xml:space="preserve">Grams  &lt;&lt;&lt;&gt;&gt;&gt; Joules/cm </v>
      </c>
      <c r="W329" t="s">
        <v>254</v>
      </c>
      <c r="X329" t="s">
        <v>419</v>
      </c>
      <c r="Y329">
        <v>9.8099999999999999E-5</v>
      </c>
    </row>
    <row r="330" spans="1:25">
      <c r="B330" s="287">
        <v>0.7087</v>
      </c>
      <c r="D330" s="1">
        <v>18</v>
      </c>
      <c r="V330" t="str">
        <f t="shared" si="5"/>
        <v xml:space="preserve">Grams  &lt;&lt;&lt;&gt;&gt;&gt; Joules/meter (newtons) </v>
      </c>
      <c r="W330" t="s">
        <v>254</v>
      </c>
      <c r="X330" t="s">
        <v>420</v>
      </c>
      <c r="Y330">
        <v>9.8099999999999993E-3</v>
      </c>
    </row>
    <row r="331" spans="1:25">
      <c r="A331" s="168" t="s">
        <v>918</v>
      </c>
      <c r="B331" s="287">
        <v>0.71879999999999999</v>
      </c>
      <c r="V331" t="str">
        <f t="shared" si="5"/>
        <v xml:space="preserve">Grams  &lt;&lt;&lt;&gt;&gt;&gt; Kilograms </v>
      </c>
      <c r="W331" t="s">
        <v>254</v>
      </c>
      <c r="X331" t="s">
        <v>364</v>
      </c>
      <c r="Y331">
        <v>1E-3</v>
      </c>
    </row>
    <row r="332" spans="1:25">
      <c r="B332" s="287">
        <v>0.72829999999999995</v>
      </c>
      <c r="D332" s="1">
        <v>18.5</v>
      </c>
      <c r="V332" t="str">
        <f t="shared" si="5"/>
        <v xml:space="preserve">Grams  &lt;&lt;&lt;&gt;&gt;&gt; Milligrams </v>
      </c>
      <c r="W332" t="s">
        <v>254</v>
      </c>
      <c r="X332" t="s">
        <v>421</v>
      </c>
      <c r="Y332">
        <v>1000</v>
      </c>
    </row>
    <row r="333" spans="1:25">
      <c r="A333" s="168" t="s">
        <v>921</v>
      </c>
      <c r="B333" s="287">
        <v>0.73440000000000005</v>
      </c>
      <c r="V333" t="str">
        <f t="shared" si="5"/>
        <v xml:space="preserve">Grams  &lt;&lt;&lt;&gt;&gt;&gt; Ounces (troy) </v>
      </c>
      <c r="W333" t="s">
        <v>254</v>
      </c>
      <c r="X333" t="s">
        <v>344</v>
      </c>
      <c r="Y333">
        <v>3.2150747E-2</v>
      </c>
    </row>
    <row r="334" spans="1:25">
      <c r="B334" s="287">
        <v>0.748</v>
      </c>
      <c r="D334" s="1">
        <v>19</v>
      </c>
      <c r="V334" t="str">
        <f t="shared" si="5"/>
        <v xml:space="preserve">Grams  &lt;&lt;&lt;&gt;&gt;&gt; Ounces(avoirdupois) </v>
      </c>
      <c r="W334" t="s">
        <v>254</v>
      </c>
      <c r="X334" t="s">
        <v>422</v>
      </c>
      <c r="Y334">
        <v>3.5273961999999999E-2</v>
      </c>
    </row>
    <row r="335" spans="1:25">
      <c r="A335" s="168" t="s">
        <v>924</v>
      </c>
      <c r="B335" s="287">
        <v>0.75</v>
      </c>
      <c r="V335" t="str">
        <f t="shared" si="5"/>
        <v xml:space="preserve">Grams  &lt;&lt;&lt;&gt;&gt;&gt; Poundals </v>
      </c>
      <c r="W335" t="s">
        <v>254</v>
      </c>
      <c r="X335" t="s">
        <v>365</v>
      </c>
      <c r="Y335">
        <v>7.0930000000000007E-2</v>
      </c>
    </row>
    <row r="336" spans="1:25">
      <c r="A336" s="168" t="s">
        <v>927</v>
      </c>
      <c r="B336" s="287">
        <v>0.76559999999999995</v>
      </c>
      <c r="V336" t="str">
        <f t="shared" si="5"/>
        <v xml:space="preserve">Grams  &lt;&lt;&lt;&gt;&gt;&gt; Pounds </v>
      </c>
      <c r="W336" t="s">
        <v>254</v>
      </c>
      <c r="X336" t="s">
        <v>366</v>
      </c>
      <c r="Y336">
        <v>2.2046230000000002E-3</v>
      </c>
    </row>
    <row r="337" spans="1:25">
      <c r="B337" s="287">
        <v>0.76770000000000005</v>
      </c>
      <c r="D337" s="1">
        <v>19.5</v>
      </c>
      <c r="V337" t="str">
        <f t="shared" si="5"/>
        <v>Grams per Cubic Centimeter &lt;&lt;&lt;&gt;&gt;&gt; Pounds per Cubic Inch</v>
      </c>
      <c r="W337" t="s">
        <v>423</v>
      </c>
      <c r="X337" t="s">
        <v>424</v>
      </c>
      <c r="Y337">
        <v>3.6127300000000001E-2</v>
      </c>
    </row>
    <row r="338" spans="1:25">
      <c r="A338" s="168" t="s">
        <v>930</v>
      </c>
      <c r="B338" s="287">
        <v>0.78120000000000001</v>
      </c>
      <c r="V338" t="str">
        <f t="shared" si="5"/>
        <v xml:space="preserve">Grams/cm  &lt;&lt;&lt;&gt;&gt;&gt; Pounds/Inch </v>
      </c>
      <c r="W338" t="s">
        <v>425</v>
      </c>
      <c r="X338" t="s">
        <v>426</v>
      </c>
      <c r="Y338">
        <v>5.5999999999999999E-3</v>
      </c>
    </row>
    <row r="339" spans="1:25">
      <c r="B339" s="287">
        <v>0.78739999999999999</v>
      </c>
      <c r="D339" s="1">
        <v>20</v>
      </c>
      <c r="V339" t="str">
        <f t="shared" si="5"/>
        <v xml:space="preserve">Grams/cu. cm  &lt;&lt;&lt;&gt;&gt;&gt; Pounds/cu. Foot </v>
      </c>
      <c r="W339" t="s">
        <v>427</v>
      </c>
      <c r="X339" t="s">
        <v>428</v>
      </c>
      <c r="Y339">
        <v>62.43</v>
      </c>
    </row>
    <row r="340" spans="1:25">
      <c r="A340" s="168" t="s">
        <v>932</v>
      </c>
      <c r="B340" s="287">
        <v>0.79690000000000005</v>
      </c>
      <c r="V340" t="str">
        <f t="shared" si="5"/>
        <v xml:space="preserve">Grams/cu. cm  &lt;&lt;&lt;&gt;&gt;&gt; Pounds/cu. Inch </v>
      </c>
      <c r="W340" t="s">
        <v>427</v>
      </c>
      <c r="X340" t="s">
        <v>429</v>
      </c>
      <c r="Y340">
        <v>3.6130000000000002E-2</v>
      </c>
    </row>
    <row r="341" spans="1:25">
      <c r="B341" s="287">
        <v>0.80710000000000004</v>
      </c>
      <c r="D341" s="1">
        <v>20.5</v>
      </c>
      <c r="V341" t="str">
        <f t="shared" si="5"/>
        <v>Hand &lt;&lt;&lt;&gt;&gt;&gt; Centimeters</v>
      </c>
      <c r="W341" t="s">
        <v>430</v>
      </c>
      <c r="X341" t="s">
        <v>60</v>
      </c>
      <c r="Y341">
        <v>10.16</v>
      </c>
    </row>
    <row r="342" spans="1:25">
      <c r="A342" s="168" t="s">
        <v>935</v>
      </c>
      <c r="B342" s="287">
        <v>0.8125</v>
      </c>
      <c r="V342" t="str">
        <f t="shared" si="5"/>
        <v xml:space="preserve">Hectares  &lt;&lt;&lt;&gt;&gt;&gt; Acres </v>
      </c>
      <c r="W342" t="s">
        <v>431</v>
      </c>
      <c r="X342" t="s">
        <v>1097</v>
      </c>
      <c r="Y342">
        <v>2.4710540000000001</v>
      </c>
    </row>
    <row r="343" spans="1:25">
      <c r="B343" s="287">
        <v>0.82679999999999998</v>
      </c>
      <c r="D343" s="1">
        <v>21</v>
      </c>
      <c r="V343" t="str">
        <f t="shared" si="5"/>
        <v xml:space="preserve">Hectares  &lt;&lt;&lt;&gt;&gt;&gt; Square Feet </v>
      </c>
      <c r="W343" t="s">
        <v>431</v>
      </c>
      <c r="X343" t="s">
        <v>1096</v>
      </c>
      <c r="Y343">
        <v>107600</v>
      </c>
    </row>
    <row r="344" spans="1:25">
      <c r="A344" s="168" t="s">
        <v>940</v>
      </c>
      <c r="B344" s="287">
        <v>0.82809999999999995</v>
      </c>
      <c r="V344" t="str">
        <f t="shared" si="5"/>
        <v xml:space="preserve">Hectograms  &lt;&lt;&lt;&gt;&gt;&gt; Grams </v>
      </c>
      <c r="W344" t="s">
        <v>432</v>
      </c>
      <c r="X344" t="s">
        <v>254</v>
      </c>
      <c r="Y344">
        <v>100</v>
      </c>
    </row>
    <row r="345" spans="1:25">
      <c r="A345" s="168" t="s">
        <v>942</v>
      </c>
      <c r="B345" s="287">
        <v>0.84379999999999999</v>
      </c>
      <c r="V345" t="str">
        <f t="shared" si="5"/>
        <v xml:space="preserve">Hectoliters  &lt;&lt;&lt;&gt;&gt;&gt; Liters </v>
      </c>
      <c r="W345" t="s">
        <v>433</v>
      </c>
      <c r="X345" t="s">
        <v>239</v>
      </c>
      <c r="Y345">
        <v>100</v>
      </c>
    </row>
    <row r="346" spans="1:25">
      <c r="B346" s="287">
        <v>0.84650000000000003</v>
      </c>
      <c r="D346" s="1">
        <v>21.5</v>
      </c>
      <c r="V346" t="str">
        <f t="shared" si="5"/>
        <v>Hectometers &lt;&lt;&lt;&gt;&gt;&gt; Meters</v>
      </c>
      <c r="W346" t="s">
        <v>434</v>
      </c>
      <c r="X346" t="s">
        <v>64</v>
      </c>
      <c r="Y346">
        <v>100</v>
      </c>
    </row>
    <row r="347" spans="1:25">
      <c r="A347" s="168" t="s">
        <v>945</v>
      </c>
      <c r="B347" s="287">
        <v>0.85940000000000005</v>
      </c>
      <c r="V347" t="str">
        <f t="shared" si="5"/>
        <v xml:space="preserve">hectowatts  &lt;&lt;&lt;&gt;&gt;&gt; Watts </v>
      </c>
      <c r="W347" t="s">
        <v>435</v>
      </c>
      <c r="X347" t="s">
        <v>229</v>
      </c>
      <c r="Y347">
        <v>100</v>
      </c>
    </row>
    <row r="348" spans="1:25">
      <c r="B348" s="287">
        <v>0.86609999999999998</v>
      </c>
      <c r="D348" s="1">
        <v>22</v>
      </c>
      <c r="V348" t="str">
        <f t="shared" si="5"/>
        <v xml:space="preserve">Hogsheads (British)  &lt;&lt;&lt;&gt;&gt;&gt; Cubic Feet </v>
      </c>
      <c r="W348" t="s">
        <v>436</v>
      </c>
      <c r="X348" t="s">
        <v>1093</v>
      </c>
      <c r="Y348">
        <v>10.114000000000001</v>
      </c>
    </row>
    <row r="349" spans="1:25">
      <c r="A349" s="168" t="s">
        <v>947</v>
      </c>
      <c r="B349" s="287">
        <v>0.875</v>
      </c>
      <c r="V349" t="str">
        <f t="shared" si="5"/>
        <v xml:space="preserve">Hogsheads (U.S.)  &lt;&lt;&lt;&gt;&gt;&gt; Cubic Feet </v>
      </c>
      <c r="W349" t="s">
        <v>437</v>
      </c>
      <c r="X349" t="s">
        <v>1093</v>
      </c>
      <c r="Y349">
        <v>8.4218399999999995</v>
      </c>
    </row>
    <row r="350" spans="1:25">
      <c r="B350" s="287">
        <v>0.88580000000000003</v>
      </c>
      <c r="D350" s="1">
        <v>22.5</v>
      </c>
      <c r="V350" t="str">
        <f t="shared" si="5"/>
        <v xml:space="preserve">Hogsheads (U.S.)  &lt;&lt;&lt;&gt;&gt;&gt; Gallons (U.S.) </v>
      </c>
      <c r="W350" t="s">
        <v>437</v>
      </c>
      <c r="X350" t="s">
        <v>438</v>
      </c>
      <c r="Y350">
        <v>63</v>
      </c>
    </row>
    <row r="351" spans="1:25">
      <c r="A351" s="168" t="s">
        <v>950</v>
      </c>
      <c r="B351" s="287">
        <v>0.89059999999999995</v>
      </c>
      <c r="V351" t="str">
        <f t="shared" si="5"/>
        <v xml:space="preserve">HorsePower  &lt;&lt;&lt;&gt;&gt;&gt; BTU/Minute </v>
      </c>
      <c r="W351" t="s">
        <v>232</v>
      </c>
      <c r="X351" t="s">
        <v>230</v>
      </c>
      <c r="Y351">
        <v>42.44</v>
      </c>
    </row>
    <row r="352" spans="1:25">
      <c r="B352" s="287">
        <v>0.90549999999999997</v>
      </c>
      <c r="D352" s="1">
        <v>23</v>
      </c>
      <c r="V352" t="str">
        <f t="shared" si="5"/>
        <v xml:space="preserve">HorsePower  &lt;&lt;&lt;&gt;&gt;&gt; Foot-lbs/Minute </v>
      </c>
      <c r="W352" t="s">
        <v>232</v>
      </c>
      <c r="X352" t="s">
        <v>439</v>
      </c>
      <c r="Y352">
        <v>33000</v>
      </c>
    </row>
    <row r="353" spans="1:25">
      <c r="A353" s="168" t="s">
        <v>146</v>
      </c>
      <c r="B353" s="287">
        <v>0.90620000000000001</v>
      </c>
      <c r="V353" t="str">
        <f t="shared" si="5"/>
        <v xml:space="preserve">HorsePower  &lt;&lt;&lt;&gt;&gt;&gt; Foot-lbs/Second </v>
      </c>
      <c r="W353" t="s">
        <v>232</v>
      </c>
      <c r="X353" t="s">
        <v>231</v>
      </c>
      <c r="Y353">
        <v>550</v>
      </c>
    </row>
    <row r="354" spans="1:25">
      <c r="A354" s="168" t="s">
        <v>149</v>
      </c>
      <c r="B354" s="287">
        <v>0.92190000000000005</v>
      </c>
      <c r="V354" t="str">
        <f t="shared" si="5"/>
        <v xml:space="preserve">HorsePower  &lt;&lt;&lt;&gt;&gt;&gt; Kilogram-Calories/Minute </v>
      </c>
      <c r="W354" t="s">
        <v>232</v>
      </c>
      <c r="X354" t="s">
        <v>440</v>
      </c>
      <c r="Y354">
        <v>10.68</v>
      </c>
    </row>
    <row r="355" spans="1:25">
      <c r="B355" s="287">
        <v>0.92520000000000002</v>
      </c>
      <c r="D355" s="1">
        <v>23.5</v>
      </c>
      <c r="V355" t="str">
        <f t="shared" si="5"/>
        <v xml:space="preserve">HorsePower  &lt;&lt;&lt;&gt;&gt;&gt; Kilowatts </v>
      </c>
      <c r="W355" t="s">
        <v>232</v>
      </c>
      <c r="X355" t="s">
        <v>233</v>
      </c>
      <c r="Y355">
        <v>0.74570000000000003</v>
      </c>
    </row>
    <row r="356" spans="1:25">
      <c r="A356" s="168" t="s">
        <v>151</v>
      </c>
      <c r="B356" s="287">
        <v>0.9375</v>
      </c>
      <c r="V356" t="str">
        <f t="shared" si="5"/>
        <v xml:space="preserve">HorsePower  &lt;&lt;&lt;&gt;&gt;&gt; Watts </v>
      </c>
      <c r="W356" t="s">
        <v>232</v>
      </c>
      <c r="X356" t="s">
        <v>229</v>
      </c>
      <c r="Y356">
        <v>745.7</v>
      </c>
    </row>
    <row r="357" spans="1:25">
      <c r="B357" s="287">
        <v>0.94489999999999996</v>
      </c>
      <c r="D357" s="1">
        <v>24</v>
      </c>
      <c r="V357" t="str">
        <f t="shared" si="5"/>
        <v xml:space="preserve">HorsePower (boiler)  &lt;&lt;&lt;&gt;&gt;&gt; BTU/Hour </v>
      </c>
      <c r="W357" t="s">
        <v>441</v>
      </c>
      <c r="X357" t="s">
        <v>1142</v>
      </c>
      <c r="Y357">
        <v>33479</v>
      </c>
    </row>
    <row r="358" spans="1:25">
      <c r="A358" s="168" t="s">
        <v>153</v>
      </c>
      <c r="B358" s="287">
        <v>0.95309999999999995</v>
      </c>
      <c r="V358" t="str">
        <f t="shared" si="5"/>
        <v xml:space="preserve">HorsePower (boiler)  &lt;&lt;&lt;&gt;&gt;&gt; Kilowatts </v>
      </c>
      <c r="W358" t="s">
        <v>441</v>
      </c>
      <c r="X358" t="s">
        <v>233</v>
      </c>
      <c r="Y358">
        <v>9.8030000000000008</v>
      </c>
    </row>
    <row r="359" spans="1:25">
      <c r="B359" s="287">
        <v>0.96460000000000001</v>
      </c>
      <c r="D359" s="1">
        <v>24.5</v>
      </c>
      <c r="V359" t="str">
        <f t="shared" si="5"/>
        <v xml:space="preserve">HorsePower (metric)  &lt;&lt;&lt;&gt;&gt;&gt; HorsePower </v>
      </c>
      <c r="W359" t="s">
        <v>442</v>
      </c>
      <c r="X359" t="s">
        <v>232</v>
      </c>
      <c r="Y359">
        <v>0.98629999999999995</v>
      </c>
    </row>
    <row r="360" spans="1:25">
      <c r="A360" s="168" t="s">
        <v>156</v>
      </c>
      <c r="B360" s="287">
        <v>0.96879999999999999</v>
      </c>
      <c r="V360" t="str">
        <f t="shared" si="5"/>
        <v xml:space="preserve">HorsePower-Hours  &lt;&lt;&lt;&gt;&gt;&gt; BTU </v>
      </c>
      <c r="W360" t="s">
        <v>1137</v>
      </c>
      <c r="X360" t="s">
        <v>1133</v>
      </c>
      <c r="Y360">
        <v>2547</v>
      </c>
    </row>
    <row r="361" spans="1:25">
      <c r="B361" s="287">
        <v>0.98429999999999995</v>
      </c>
      <c r="D361" s="1">
        <v>25</v>
      </c>
      <c r="V361" t="str">
        <f t="shared" si="5"/>
        <v xml:space="preserve">HorsePower-Hours  &lt;&lt;&lt;&gt;&gt;&gt; Ergs </v>
      </c>
      <c r="W361" t="s">
        <v>1137</v>
      </c>
      <c r="X361" t="s">
        <v>1134</v>
      </c>
      <c r="Y361">
        <v>26800000000000</v>
      </c>
    </row>
    <row r="362" spans="1:25">
      <c r="A362" s="168" t="s">
        <v>161</v>
      </c>
      <c r="B362" s="287">
        <v>0.98440000000000005</v>
      </c>
      <c r="V362" t="str">
        <f t="shared" si="5"/>
        <v xml:space="preserve">HorsePower-Hours  &lt;&lt;&lt;&gt;&gt;&gt; Foot-lbs </v>
      </c>
      <c r="W362" t="s">
        <v>1137</v>
      </c>
      <c r="X362" t="s">
        <v>1135</v>
      </c>
      <c r="Y362">
        <v>1980000</v>
      </c>
    </row>
    <row r="363" spans="1:25">
      <c r="A363" s="168" t="s">
        <v>163</v>
      </c>
      <c r="B363" s="287">
        <v>1</v>
      </c>
      <c r="V363" t="str">
        <f t="shared" si="5"/>
        <v xml:space="preserve">HorsePower-Hours  &lt;&lt;&lt;&gt;&gt;&gt; Gram-Calories </v>
      </c>
      <c r="W363" t="s">
        <v>1137</v>
      </c>
      <c r="X363" t="s">
        <v>1136</v>
      </c>
      <c r="Y363">
        <v>641190</v>
      </c>
    </row>
    <row r="364" spans="1:25">
      <c r="B364" s="287">
        <v>1.0039</v>
      </c>
      <c r="D364" s="1">
        <v>25.5</v>
      </c>
      <c r="V364" t="str">
        <f t="shared" si="5"/>
        <v xml:space="preserve">HorsePower-Hours  &lt;&lt;&lt;&gt;&gt;&gt; Joules </v>
      </c>
      <c r="W364" t="s">
        <v>1137</v>
      </c>
      <c r="X364" t="s">
        <v>1138</v>
      </c>
      <c r="Y364">
        <v>2684000</v>
      </c>
    </row>
    <row r="365" spans="1:25">
      <c r="A365" s="168" t="s">
        <v>166</v>
      </c>
      <c r="B365" s="287">
        <v>1.0156000000000001</v>
      </c>
      <c r="V365" t="str">
        <f t="shared" si="5"/>
        <v xml:space="preserve">HorsePower-Hours  &lt;&lt;&lt;&gt;&gt;&gt; Kilogram-Calories </v>
      </c>
      <c r="W365" t="s">
        <v>1137</v>
      </c>
      <c r="X365" t="s">
        <v>1139</v>
      </c>
      <c r="Y365">
        <v>641.1</v>
      </c>
    </row>
    <row r="366" spans="1:25">
      <c r="B366" s="287">
        <v>1.0236000000000001</v>
      </c>
      <c r="D366" s="1">
        <v>26</v>
      </c>
      <c r="V366" t="str">
        <f t="shared" si="5"/>
        <v xml:space="preserve">HorsePower-Hours  &lt;&lt;&lt;&gt;&gt;&gt; Kilogram-meters </v>
      </c>
      <c r="W366" t="s">
        <v>1137</v>
      </c>
      <c r="X366" t="s">
        <v>1140</v>
      </c>
      <c r="Y366">
        <v>273700</v>
      </c>
    </row>
    <row r="367" spans="1:25">
      <c r="A367" s="168" t="s">
        <v>168</v>
      </c>
      <c r="B367" s="287">
        <v>1.0311999999999999</v>
      </c>
      <c r="V367" t="str">
        <f t="shared" si="5"/>
        <v xml:space="preserve">HorsePower-Hours  &lt;&lt;&lt;&gt;&gt;&gt; Kilowatt-Hours </v>
      </c>
      <c r="W367" t="s">
        <v>1137</v>
      </c>
      <c r="X367" t="s">
        <v>1141</v>
      </c>
      <c r="Y367">
        <v>0.74570000000000003</v>
      </c>
    </row>
    <row r="368" spans="1:25">
      <c r="B368" s="287">
        <v>1.0432999999999999</v>
      </c>
      <c r="D368" s="1">
        <v>26.5</v>
      </c>
      <c r="V368" t="str">
        <f t="shared" si="5"/>
        <v xml:space="preserve">Hours (mean solar)  &lt;&lt;&lt;&gt;&gt;&gt; Days </v>
      </c>
      <c r="W368" t="s">
        <v>443</v>
      </c>
      <c r="X368" t="s">
        <v>444</v>
      </c>
      <c r="Y368">
        <v>4.1666670000000003E-2</v>
      </c>
    </row>
    <row r="369" spans="1:25">
      <c r="A369" s="168" t="s">
        <v>171</v>
      </c>
      <c r="B369" s="287">
        <v>1.0468999999999999</v>
      </c>
      <c r="V369" t="str">
        <f t="shared" si="5"/>
        <v xml:space="preserve">Hours (mean solar)  &lt;&lt;&lt;&gt;&gt;&gt; Weeks </v>
      </c>
      <c r="W369" t="s">
        <v>443</v>
      </c>
      <c r="X369" t="s">
        <v>445</v>
      </c>
      <c r="Y369">
        <v>5.9523809999999996E-3</v>
      </c>
    </row>
    <row r="370" spans="1:25">
      <c r="A370" s="168" t="s">
        <v>173</v>
      </c>
      <c r="B370" s="287">
        <v>1.0625</v>
      </c>
      <c r="V370" t="str">
        <f t="shared" si="5"/>
        <v>Hundredweight (long) &lt;&lt;&lt;&gt;&gt;&gt; Kilograms (kg)</v>
      </c>
      <c r="W370" t="s">
        <v>446</v>
      </c>
      <c r="X370" t="s">
        <v>414</v>
      </c>
      <c r="Y370">
        <v>50.802349999999997</v>
      </c>
    </row>
    <row r="371" spans="1:25">
      <c r="B371" s="287">
        <v>1.0629999999999999</v>
      </c>
      <c r="D371" s="1">
        <v>27</v>
      </c>
      <c r="V371" t="str">
        <f t="shared" si="5"/>
        <v>Hundredweight (short) &lt;&lt;&lt;&gt;&gt;&gt; Kilogram (kg)</v>
      </c>
      <c r="W371" t="s">
        <v>447</v>
      </c>
      <c r="X371" t="s">
        <v>448</v>
      </c>
      <c r="Y371">
        <v>45.35924</v>
      </c>
    </row>
    <row r="372" spans="1:25">
      <c r="A372" s="168" t="s">
        <v>176</v>
      </c>
      <c r="B372" s="287">
        <v>1.0781000000000001</v>
      </c>
      <c r="V372" t="str">
        <f t="shared" si="5"/>
        <v xml:space="preserve">Hundredweights (long)  &lt;&lt;&lt;&gt;&gt;&gt; Pounds </v>
      </c>
      <c r="W372" t="s">
        <v>449</v>
      </c>
      <c r="X372" t="s">
        <v>366</v>
      </c>
      <c r="Y372">
        <v>112</v>
      </c>
    </row>
    <row r="373" spans="1:25">
      <c r="B373" s="287">
        <v>1.0827</v>
      </c>
      <c r="D373" s="1">
        <v>27.5</v>
      </c>
      <c r="V373" t="str">
        <f t="shared" si="5"/>
        <v xml:space="preserve">Hundredweights (long)  &lt;&lt;&lt;&gt;&gt;&gt; Tons (long) </v>
      </c>
      <c r="W373" t="s">
        <v>449</v>
      </c>
      <c r="X373" t="s">
        <v>450</v>
      </c>
      <c r="Y373">
        <v>0.05</v>
      </c>
    </row>
    <row r="374" spans="1:25">
      <c r="A374" s="168" t="s">
        <v>181</v>
      </c>
      <c r="B374" s="287">
        <v>1.0938000000000001</v>
      </c>
      <c r="V374" t="str">
        <f t="shared" si="5"/>
        <v xml:space="preserve">Hundredweights (short)  &lt;&lt;&lt;&gt;&gt;&gt; Ounces (avoirdupois) </v>
      </c>
      <c r="W374" t="s">
        <v>451</v>
      </c>
      <c r="X374" t="s">
        <v>411</v>
      </c>
      <c r="Y374">
        <v>1600</v>
      </c>
    </row>
    <row r="375" spans="1:25">
      <c r="B375" s="287">
        <v>1.1024</v>
      </c>
      <c r="D375" s="1">
        <v>28</v>
      </c>
      <c r="V375" t="str">
        <f t="shared" si="5"/>
        <v xml:space="preserve">Hundredweights (short)  &lt;&lt;&lt;&gt;&gt;&gt; Pounds </v>
      </c>
      <c r="W375" t="s">
        <v>451</v>
      </c>
      <c r="X375" t="s">
        <v>366</v>
      </c>
      <c r="Y375">
        <v>100</v>
      </c>
    </row>
    <row r="376" spans="1:25">
      <c r="A376" s="168" t="s">
        <v>184</v>
      </c>
      <c r="B376" s="287">
        <v>1.1093999999999999</v>
      </c>
      <c r="V376" t="str">
        <f t="shared" si="5"/>
        <v xml:space="preserve">Hundredweights (short)  &lt;&lt;&lt;&gt;&gt;&gt; Tons (long) </v>
      </c>
      <c r="W376" t="s">
        <v>451</v>
      </c>
      <c r="X376" t="s">
        <v>450</v>
      </c>
      <c r="Y376">
        <v>4.4642899999999999E-2</v>
      </c>
    </row>
    <row r="377" spans="1:25">
      <c r="B377" s="287">
        <v>1.1220000000000001</v>
      </c>
      <c r="D377" s="1">
        <v>28.5</v>
      </c>
      <c r="V377" t="str">
        <f t="shared" si="5"/>
        <v xml:space="preserve">Hundredweights (short)  &lt;&lt;&lt;&gt;&gt;&gt; Tons (metric) </v>
      </c>
      <c r="W377" t="s">
        <v>451</v>
      </c>
      <c r="X377" t="s">
        <v>452</v>
      </c>
      <c r="Y377">
        <v>4.5359200000000002E-2</v>
      </c>
    </row>
    <row r="378" spans="1:25">
      <c r="A378" s="168" t="s">
        <v>187</v>
      </c>
      <c r="B378" s="287">
        <v>1.125</v>
      </c>
      <c r="V378" t="str">
        <f t="shared" si="5"/>
        <v>Inches &lt;&lt;&lt;&gt;&gt;&gt; Centimeters</v>
      </c>
      <c r="W378" t="s">
        <v>56</v>
      </c>
      <c r="X378" t="s">
        <v>60</v>
      </c>
      <c r="Y378">
        <v>2.54</v>
      </c>
    </row>
    <row r="379" spans="1:25">
      <c r="A379" s="168" t="s">
        <v>190</v>
      </c>
      <c r="B379" s="287">
        <v>1.1406000000000001</v>
      </c>
      <c r="V379" t="str">
        <f t="shared" si="5"/>
        <v>Inches &lt;&lt;&lt;&gt;&gt;&gt; Feet</v>
      </c>
      <c r="W379" t="s">
        <v>56</v>
      </c>
      <c r="X379" t="s">
        <v>62</v>
      </c>
      <c r="Y379">
        <v>8.3333329999999997E-2</v>
      </c>
    </row>
    <row r="380" spans="1:25">
      <c r="B380" s="287">
        <v>1.1416999999999999</v>
      </c>
      <c r="D380" s="1">
        <v>29</v>
      </c>
      <c r="V380" t="str">
        <f t="shared" si="5"/>
        <v>Inches &lt;&lt;&lt;&gt;&gt;&gt; Meters</v>
      </c>
      <c r="W380" t="s">
        <v>56</v>
      </c>
      <c r="X380" t="s">
        <v>64</v>
      </c>
      <c r="Y380">
        <v>2.5399999999999999E-2</v>
      </c>
    </row>
    <row r="381" spans="1:25">
      <c r="A381" s="168" t="s">
        <v>192</v>
      </c>
      <c r="B381" s="287">
        <v>1.1561999999999999</v>
      </c>
      <c r="V381" t="str">
        <f t="shared" si="5"/>
        <v>Inches &lt;&lt;&lt;&gt;&gt;&gt; Miles</v>
      </c>
      <c r="W381" t="s">
        <v>56</v>
      </c>
      <c r="X381" t="s">
        <v>68</v>
      </c>
      <c r="Y381">
        <v>1.5780000000000001E-5</v>
      </c>
    </row>
    <row r="382" spans="1:25">
      <c r="B382" s="287">
        <v>1.1614</v>
      </c>
      <c r="D382" s="1">
        <v>29.5</v>
      </c>
      <c r="V382" t="str">
        <f t="shared" si="5"/>
        <v>Inches &lt;&lt;&lt;&gt;&gt;&gt; Millimeters</v>
      </c>
      <c r="W382" t="s">
        <v>56</v>
      </c>
      <c r="X382" t="s">
        <v>58</v>
      </c>
      <c r="Y382">
        <v>25.4</v>
      </c>
    </row>
    <row r="383" spans="1:25">
      <c r="A383" s="168" t="s">
        <v>195</v>
      </c>
      <c r="B383" s="287">
        <v>1.1718999999999999</v>
      </c>
      <c r="V383" t="str">
        <f t="shared" si="5"/>
        <v>Inches &lt;&lt;&lt;&gt;&gt;&gt; Mils</v>
      </c>
      <c r="W383" t="s">
        <v>56</v>
      </c>
      <c r="X383" t="s">
        <v>261</v>
      </c>
      <c r="Y383">
        <v>1000</v>
      </c>
    </row>
    <row r="384" spans="1:25">
      <c r="B384" s="287">
        <v>1.1811</v>
      </c>
      <c r="D384" s="1">
        <v>30</v>
      </c>
      <c r="V384" t="str">
        <f t="shared" si="5"/>
        <v>Inches &lt;&lt;&lt;&gt;&gt;&gt; Yards</v>
      </c>
      <c r="W384" t="s">
        <v>56</v>
      </c>
      <c r="X384" t="s">
        <v>65</v>
      </c>
      <c r="Y384">
        <v>2.7777777999999999E-2</v>
      </c>
    </row>
    <row r="385" spans="1:25">
      <c r="A385" s="168" t="s">
        <v>199</v>
      </c>
      <c r="B385" s="287">
        <v>1.1875</v>
      </c>
      <c r="V385" t="str">
        <f t="shared" si="5"/>
        <v xml:space="preserve">Inches of Mercury  &lt;&lt;&lt;&gt;&gt;&gt; Atmospheres </v>
      </c>
      <c r="W385" t="s">
        <v>453</v>
      </c>
      <c r="X385" t="s">
        <v>1107</v>
      </c>
      <c r="Y385">
        <v>3.3419999999999998E-2</v>
      </c>
    </row>
    <row r="386" spans="1:25">
      <c r="B386" s="287">
        <v>1.2008000000000001</v>
      </c>
      <c r="D386" s="1">
        <v>30.5</v>
      </c>
      <c r="V386" t="str">
        <f t="shared" si="5"/>
        <v xml:space="preserve">Inches of Mercury  &lt;&lt;&lt;&gt;&gt;&gt; Feet of water </v>
      </c>
      <c r="W386" t="s">
        <v>453</v>
      </c>
      <c r="X386" t="s">
        <v>263</v>
      </c>
      <c r="Y386">
        <v>1.133</v>
      </c>
    </row>
    <row r="387" spans="1:25">
      <c r="A387" s="168" t="s">
        <v>203</v>
      </c>
      <c r="B387" s="287">
        <v>1.2031000000000001</v>
      </c>
      <c r="V387" t="str">
        <f t="shared" ref="V387:V450" si="6">IF(W387="","",W387&amp;" &lt;&lt;&lt;&gt;&gt;&gt; "&amp;X387)</f>
        <v xml:space="preserve">Inches of Mercury  &lt;&lt;&lt;&gt;&gt;&gt; Kgs/sq. cm </v>
      </c>
      <c r="W387" t="s">
        <v>453</v>
      </c>
      <c r="X387" t="s">
        <v>1112</v>
      </c>
      <c r="Y387">
        <v>3.4529999999999998E-2</v>
      </c>
    </row>
    <row r="388" spans="1:25">
      <c r="A388" s="168" t="s">
        <v>205</v>
      </c>
      <c r="B388" s="287">
        <v>1.2188000000000001</v>
      </c>
      <c r="V388" t="str">
        <f t="shared" si="6"/>
        <v xml:space="preserve">Inches of Mercury  &lt;&lt;&lt;&gt;&gt;&gt; Kgs/sq. meter </v>
      </c>
      <c r="W388" t="s">
        <v>453</v>
      </c>
      <c r="X388" t="s">
        <v>1114</v>
      </c>
      <c r="Y388">
        <v>345.3</v>
      </c>
    </row>
    <row r="389" spans="1:25">
      <c r="B389" s="287">
        <v>1.2204999999999999</v>
      </c>
      <c r="D389" s="1">
        <v>31</v>
      </c>
      <c r="V389" t="str">
        <f t="shared" si="6"/>
        <v xml:space="preserve">Inches of Mercury  &lt;&lt;&lt;&gt;&gt;&gt; Pounds/sq. ft. </v>
      </c>
      <c r="W389" t="s">
        <v>453</v>
      </c>
      <c r="X389" t="s">
        <v>454</v>
      </c>
      <c r="Y389">
        <v>70.73</v>
      </c>
    </row>
    <row r="390" spans="1:25">
      <c r="A390" s="168" t="s">
        <v>208</v>
      </c>
      <c r="B390" s="287">
        <v>1.2343999999999999</v>
      </c>
      <c r="V390" t="str">
        <f t="shared" si="6"/>
        <v xml:space="preserve">Inches of Mercury  &lt;&lt;&lt;&gt;&gt;&gt; Pounds/sq. in. </v>
      </c>
      <c r="W390" t="s">
        <v>453</v>
      </c>
      <c r="X390" t="s">
        <v>455</v>
      </c>
      <c r="Y390">
        <v>0.49120000000000003</v>
      </c>
    </row>
    <row r="391" spans="1:25">
      <c r="B391" s="287">
        <v>1.2402</v>
      </c>
      <c r="D391" s="1">
        <v>31.5</v>
      </c>
      <c r="V391" t="str">
        <f t="shared" si="6"/>
        <v xml:space="preserve">Inches of water (at 4øC) &lt;&lt;&lt;&gt;&gt;&gt; Atmospheres </v>
      </c>
      <c r="W391" t="s">
        <v>456</v>
      </c>
      <c r="X391" t="s">
        <v>1107</v>
      </c>
      <c r="Y391">
        <v>2.4580000000000001E-3</v>
      </c>
    </row>
    <row r="392" spans="1:25">
      <c r="A392" s="168" t="s">
        <v>210</v>
      </c>
      <c r="B392" s="287">
        <v>1.25</v>
      </c>
      <c r="V392" t="str">
        <f t="shared" si="6"/>
        <v xml:space="preserve">Inches of water (at 4øC) &lt;&lt;&lt;&gt;&gt;&gt; Inches of Mercury </v>
      </c>
      <c r="W392" t="s">
        <v>456</v>
      </c>
      <c r="X392" t="s">
        <v>453</v>
      </c>
      <c r="Y392">
        <v>7.3550000000000004E-2</v>
      </c>
    </row>
    <row r="393" spans="1:25">
      <c r="B393" s="287">
        <v>1.2598</v>
      </c>
      <c r="D393" s="1">
        <v>32</v>
      </c>
      <c r="V393" t="str">
        <f t="shared" si="6"/>
        <v xml:space="preserve">Inches of water (at 4øC) &lt;&lt;&lt;&gt;&gt;&gt; Kgs/sq. cm </v>
      </c>
      <c r="W393" t="s">
        <v>456</v>
      </c>
      <c r="X393" t="s">
        <v>1112</v>
      </c>
      <c r="Y393">
        <v>2.5400000000000002E-3</v>
      </c>
    </row>
    <row r="394" spans="1:25">
      <c r="A394" s="168" t="s">
        <v>213</v>
      </c>
      <c r="B394" s="287">
        <v>1.2656000000000001</v>
      </c>
      <c r="V394" t="str">
        <f t="shared" si="6"/>
        <v xml:space="preserve">Inches of water (at 4øC) &lt;&lt;&lt;&gt;&gt;&gt; Ounces/sq. Inch </v>
      </c>
      <c r="W394" t="s">
        <v>456</v>
      </c>
      <c r="X394" t="s">
        <v>457</v>
      </c>
      <c r="Y394">
        <v>0.57809999999999995</v>
      </c>
    </row>
    <row r="395" spans="1:25">
      <c r="B395" s="287">
        <v>1.2795000000000001</v>
      </c>
      <c r="D395" s="1">
        <v>32.5</v>
      </c>
      <c r="V395" t="str">
        <f t="shared" si="6"/>
        <v xml:space="preserve">Inches of water (at 4øC) &lt;&lt;&lt;&gt;&gt;&gt; Pounds/sq. Foot </v>
      </c>
      <c r="W395" t="s">
        <v>456</v>
      </c>
      <c r="X395" t="s">
        <v>1129</v>
      </c>
      <c r="Y395">
        <v>5.2039999999999997</v>
      </c>
    </row>
    <row r="396" spans="1:25">
      <c r="A396" s="168" t="s">
        <v>217</v>
      </c>
      <c r="B396" s="287">
        <v>1.2811999999999999</v>
      </c>
      <c r="V396" t="str">
        <f t="shared" si="6"/>
        <v xml:space="preserve">Inches of water (at 4øC) &lt;&lt;&lt;&gt;&gt;&gt; Pounds/sq. Inch </v>
      </c>
      <c r="W396" t="s">
        <v>456</v>
      </c>
      <c r="X396" t="s">
        <v>1115</v>
      </c>
      <c r="Y396">
        <v>3.6130000000000002E-2</v>
      </c>
    </row>
    <row r="397" spans="1:25">
      <c r="A397" s="168" t="s">
        <v>219</v>
      </c>
      <c r="B397" s="287">
        <v>1.2968999999999999</v>
      </c>
      <c r="V397" t="str">
        <f t="shared" si="6"/>
        <v>Inches per Minute &lt;&lt;&lt;&gt;&gt;&gt; Centimeters per Minute</v>
      </c>
      <c r="W397" t="s">
        <v>265</v>
      </c>
      <c r="X397" t="s">
        <v>264</v>
      </c>
      <c r="Y397">
        <v>2.54</v>
      </c>
    </row>
    <row r="398" spans="1:25">
      <c r="B398" s="287">
        <v>1.2991999999999999</v>
      </c>
      <c r="D398" s="1">
        <v>33</v>
      </c>
      <c r="V398" t="str">
        <f t="shared" si="6"/>
        <v>Inches per Minute &lt;&lt;&lt;&gt;&gt;&gt; Meters per Minute</v>
      </c>
      <c r="W398" t="s">
        <v>265</v>
      </c>
      <c r="X398" t="s">
        <v>382</v>
      </c>
      <c r="Y398">
        <v>2.5399999999999999E-2</v>
      </c>
    </row>
    <row r="399" spans="1:25">
      <c r="A399" s="168" t="s">
        <v>222</v>
      </c>
      <c r="B399" s="287">
        <v>1.3125</v>
      </c>
      <c r="V399" t="str">
        <f t="shared" si="6"/>
        <v>Inches per Minute &lt;&lt;&lt;&gt;&gt;&gt; Millimeters per Minute</v>
      </c>
      <c r="W399" t="s">
        <v>265</v>
      </c>
      <c r="X399" t="s">
        <v>458</v>
      </c>
      <c r="Y399">
        <v>25.4</v>
      </c>
    </row>
    <row r="400" spans="1:25">
      <c r="B400" s="287">
        <v>1.3189</v>
      </c>
      <c r="D400" s="1">
        <v>33.5</v>
      </c>
      <c r="V400" t="str">
        <f t="shared" si="6"/>
        <v xml:space="preserve">international Ampere  &lt;&lt;&lt;&gt;&gt;&gt; Ampere (absolute) </v>
      </c>
      <c r="W400" t="s">
        <v>459</v>
      </c>
      <c r="X400" t="s">
        <v>374</v>
      </c>
      <c r="Y400">
        <v>0.99980000000000002</v>
      </c>
    </row>
    <row r="401" spans="1:25">
      <c r="A401" s="168" t="s">
        <v>224</v>
      </c>
      <c r="B401" s="287">
        <v>1.3281000000000001</v>
      </c>
      <c r="V401" t="str">
        <f t="shared" si="6"/>
        <v xml:space="preserve">international Volt  &lt;&lt;&lt;&gt;&gt;&gt; Joules </v>
      </c>
      <c r="W401" t="s">
        <v>460</v>
      </c>
      <c r="X401" t="s">
        <v>1138</v>
      </c>
      <c r="Y401">
        <v>96540</v>
      </c>
    </row>
    <row r="402" spans="1:25">
      <c r="B402" s="287">
        <v>1.3386</v>
      </c>
      <c r="D402" s="1">
        <v>34</v>
      </c>
      <c r="V402" t="str">
        <f t="shared" si="6"/>
        <v xml:space="preserve">international Volt  &lt;&lt;&lt;&gt;&gt;&gt; Joules (absolute) </v>
      </c>
      <c r="W402" t="s">
        <v>460</v>
      </c>
      <c r="X402" t="s">
        <v>461</v>
      </c>
      <c r="Y402">
        <v>1.5900000000000001E-19</v>
      </c>
    </row>
    <row r="403" spans="1:25">
      <c r="A403" s="168" t="s">
        <v>919</v>
      </c>
      <c r="B403" s="287">
        <v>1.3438000000000001</v>
      </c>
      <c r="V403" t="str">
        <f t="shared" si="6"/>
        <v xml:space="preserve">Joules  &lt;&lt;&lt;&gt;&gt;&gt; BTU </v>
      </c>
      <c r="W403" t="s">
        <v>1138</v>
      </c>
      <c r="X403" t="s">
        <v>1133</v>
      </c>
      <c r="Y403">
        <v>9.4799999999999995E-4</v>
      </c>
    </row>
    <row r="404" spans="1:25">
      <c r="B404" s="287">
        <v>1.3583000000000001</v>
      </c>
      <c r="D404" s="1">
        <v>34.5</v>
      </c>
      <c r="V404" t="str">
        <f t="shared" si="6"/>
        <v xml:space="preserve">Joules  &lt;&lt;&lt;&gt;&gt;&gt; Ergs </v>
      </c>
      <c r="W404" t="s">
        <v>1138</v>
      </c>
      <c r="X404" t="s">
        <v>1134</v>
      </c>
      <c r="Y404">
        <v>10000000</v>
      </c>
    </row>
    <row r="405" spans="1:25">
      <c r="A405" s="168" t="s">
        <v>923</v>
      </c>
      <c r="B405" s="287">
        <v>1.3593999999999999</v>
      </c>
      <c r="V405" t="str">
        <f t="shared" si="6"/>
        <v xml:space="preserve">Joules  &lt;&lt;&lt;&gt;&gt;&gt; Foot-pounds </v>
      </c>
      <c r="W405" t="s">
        <v>1138</v>
      </c>
      <c r="X405" t="s">
        <v>389</v>
      </c>
      <c r="Y405">
        <v>0.73760000000000003</v>
      </c>
    </row>
    <row r="406" spans="1:25">
      <c r="A406" s="168" t="s">
        <v>925</v>
      </c>
      <c r="B406" s="287">
        <v>1.375</v>
      </c>
      <c r="V406" t="str">
        <f t="shared" si="6"/>
        <v xml:space="preserve">Joules  &lt;&lt;&lt;&gt;&gt;&gt; Kilogram-Calories </v>
      </c>
      <c r="W406" t="s">
        <v>1138</v>
      </c>
      <c r="X406" t="s">
        <v>1139</v>
      </c>
      <c r="Y406">
        <v>2.3890000000000001E-4</v>
      </c>
    </row>
    <row r="407" spans="1:25">
      <c r="B407" s="287">
        <v>1.3779999999999999</v>
      </c>
      <c r="D407" s="1">
        <v>35</v>
      </c>
      <c r="V407" t="str">
        <f t="shared" si="6"/>
        <v xml:space="preserve">Joules  &lt;&lt;&lt;&gt;&gt;&gt; Kilogram-meters </v>
      </c>
      <c r="W407" t="s">
        <v>1138</v>
      </c>
      <c r="X407" t="s">
        <v>1140</v>
      </c>
      <c r="Y407">
        <v>0.10199999999999999</v>
      </c>
    </row>
    <row r="408" spans="1:25">
      <c r="A408" s="168" t="s">
        <v>928</v>
      </c>
      <c r="B408" s="287">
        <v>1.3906000000000001</v>
      </c>
      <c r="V408" t="str">
        <f t="shared" si="6"/>
        <v xml:space="preserve">Joules  &lt;&lt;&lt;&gt;&gt;&gt; Poundals </v>
      </c>
      <c r="W408" t="s">
        <v>1138</v>
      </c>
      <c r="X408" t="s">
        <v>365</v>
      </c>
      <c r="Y408">
        <v>723.3</v>
      </c>
    </row>
    <row r="409" spans="1:25">
      <c r="B409" s="287">
        <v>1.3976</v>
      </c>
      <c r="D409" s="1">
        <v>35.5</v>
      </c>
      <c r="V409" t="str">
        <f t="shared" si="6"/>
        <v xml:space="preserve">Joules  &lt;&lt;&lt;&gt;&gt;&gt; Pounds </v>
      </c>
      <c r="W409" t="s">
        <v>1138</v>
      </c>
      <c r="X409" t="s">
        <v>366</v>
      </c>
      <c r="Y409">
        <v>22.48</v>
      </c>
    </row>
    <row r="410" spans="1:25">
      <c r="A410" s="168" t="s">
        <v>931</v>
      </c>
      <c r="B410" s="287">
        <v>1.4061999999999999</v>
      </c>
      <c r="V410" t="str">
        <f t="shared" si="6"/>
        <v xml:space="preserve">Joules  &lt;&lt;&lt;&gt;&gt;&gt; Watt-Hours </v>
      </c>
      <c r="W410" t="s">
        <v>1138</v>
      </c>
      <c r="X410" t="s">
        <v>371</v>
      </c>
      <c r="Y410">
        <v>2.7779999999999998E-4</v>
      </c>
    </row>
    <row r="411" spans="1:25">
      <c r="B411" s="287">
        <v>1.4173</v>
      </c>
      <c r="D411" s="1">
        <v>36</v>
      </c>
      <c r="V411" t="str">
        <f t="shared" si="6"/>
        <v>Joules/Centimeter &lt;&lt;&lt;&gt;&gt;&gt; Dynes</v>
      </c>
      <c r="W411" t="s">
        <v>359</v>
      </c>
      <c r="X411" t="s">
        <v>358</v>
      </c>
      <c r="Y411">
        <v>10000000</v>
      </c>
    </row>
    <row r="412" spans="1:25">
      <c r="A412" s="168" t="s">
        <v>934</v>
      </c>
      <c r="B412" s="287">
        <v>1.4218999999999999</v>
      </c>
      <c r="V412" t="str">
        <f t="shared" si="6"/>
        <v xml:space="preserve">Joules/Centimeters  &lt;&lt;&lt;&gt;&gt;&gt; dynes </v>
      </c>
      <c r="W412" t="s">
        <v>462</v>
      </c>
      <c r="X412" t="s">
        <v>463</v>
      </c>
      <c r="Y412">
        <v>10000000</v>
      </c>
    </row>
    <row r="413" spans="1:25">
      <c r="B413" s="287">
        <v>1.4370000000000001</v>
      </c>
      <c r="D413" s="1">
        <v>36.5</v>
      </c>
      <c r="V413" t="str">
        <f t="shared" si="6"/>
        <v xml:space="preserve">Joules/Centimeters  &lt;&lt;&lt;&gt;&gt;&gt; Grams </v>
      </c>
      <c r="W413" t="s">
        <v>462</v>
      </c>
      <c r="X413" t="s">
        <v>254</v>
      </c>
      <c r="Y413">
        <v>10200</v>
      </c>
    </row>
    <row r="414" spans="1:25">
      <c r="A414" s="168" t="s">
        <v>936</v>
      </c>
      <c r="B414" s="287">
        <v>1.4375</v>
      </c>
      <c r="V414" t="str">
        <f t="shared" si="6"/>
        <v xml:space="preserve">Joules/Centimeters  &lt;&lt;&lt;&gt;&gt;&gt; Joules/Meter (newton) </v>
      </c>
      <c r="W414" t="s">
        <v>462</v>
      </c>
      <c r="X414" t="s">
        <v>464</v>
      </c>
      <c r="Y414">
        <v>100</v>
      </c>
    </row>
    <row r="415" spans="1:25">
      <c r="A415" s="168" t="s">
        <v>941</v>
      </c>
      <c r="B415" s="287">
        <v>1.4531000000000001</v>
      </c>
      <c r="V415" t="str">
        <f t="shared" si="6"/>
        <v>Kilograms &lt;&lt;&lt;&gt;&gt;&gt; Dynes</v>
      </c>
      <c r="W415" t="s">
        <v>82</v>
      </c>
      <c r="X415" t="s">
        <v>358</v>
      </c>
      <c r="Y415">
        <v>980665</v>
      </c>
    </row>
    <row r="416" spans="1:25">
      <c r="B416" s="287">
        <v>1.4567000000000001</v>
      </c>
      <c r="D416" s="1">
        <v>37</v>
      </c>
      <c r="V416" t="str">
        <f t="shared" si="6"/>
        <v>Kilograms &lt;&lt;&lt;&gt;&gt;&gt; Grams (g)</v>
      </c>
      <c r="W416" t="s">
        <v>82</v>
      </c>
      <c r="X416" t="s">
        <v>465</v>
      </c>
      <c r="Y416">
        <v>1000</v>
      </c>
    </row>
    <row r="417" spans="1:25">
      <c r="A417" s="168" t="s">
        <v>944</v>
      </c>
      <c r="B417" s="287">
        <v>1.4688000000000001</v>
      </c>
      <c r="V417" t="str">
        <f t="shared" si="6"/>
        <v>Kilograms &lt;&lt;&lt;&gt;&gt;&gt; Hundredweight (long)</v>
      </c>
      <c r="W417" t="s">
        <v>82</v>
      </c>
      <c r="X417" t="s">
        <v>446</v>
      </c>
      <c r="Y417">
        <v>1.9684130000000001E-2</v>
      </c>
    </row>
    <row r="418" spans="1:25">
      <c r="B418" s="287">
        <v>1.4763999999999999</v>
      </c>
      <c r="D418" s="1">
        <v>37.5</v>
      </c>
      <c r="V418" t="str">
        <f t="shared" si="6"/>
        <v>Kilograms &lt;&lt;&lt;&gt;&gt;&gt; Hundredweight (short)</v>
      </c>
      <c r="W418" t="s">
        <v>82</v>
      </c>
      <c r="X418" t="s">
        <v>447</v>
      </c>
      <c r="Y418">
        <v>2.2046219999999998E-2</v>
      </c>
    </row>
    <row r="419" spans="1:25">
      <c r="A419" s="168" t="s">
        <v>946</v>
      </c>
      <c r="B419" s="287">
        <v>1.4843999999999999</v>
      </c>
      <c r="V419" t="str">
        <f t="shared" si="6"/>
        <v>Kilograms &lt;&lt;&lt;&gt;&gt;&gt; Ounces (avoirdupois)</v>
      </c>
      <c r="W419" t="s">
        <v>82</v>
      </c>
      <c r="X419" t="s">
        <v>415</v>
      </c>
      <c r="Y419">
        <v>35.273969999999998</v>
      </c>
    </row>
    <row r="420" spans="1:25">
      <c r="B420" s="287">
        <v>1.4961</v>
      </c>
      <c r="D420" s="1">
        <v>38</v>
      </c>
      <c r="V420" t="str">
        <f t="shared" si="6"/>
        <v>Kilograms &lt;&lt;&lt;&gt;&gt;&gt; Ounces (troy)</v>
      </c>
      <c r="W420" t="s">
        <v>82</v>
      </c>
      <c r="X420" t="s">
        <v>416</v>
      </c>
      <c r="Y420">
        <v>32.150739999999999</v>
      </c>
    </row>
    <row r="421" spans="1:25">
      <c r="A421" s="168" t="s">
        <v>949</v>
      </c>
      <c r="B421" s="287">
        <v>1.5</v>
      </c>
      <c r="V421" t="str">
        <f t="shared" si="6"/>
        <v>Kilograms &lt;&lt;&lt;&gt;&gt;&gt; Pounds (avoirdupois)</v>
      </c>
      <c r="W421" t="s">
        <v>82</v>
      </c>
      <c r="X421" t="s">
        <v>466</v>
      </c>
      <c r="Y421">
        <v>2.2046220000000001</v>
      </c>
    </row>
    <row r="422" spans="1:25">
      <c r="V422" t="str">
        <f t="shared" si="6"/>
        <v>Kilograms &lt;&lt;&lt;&gt;&gt;&gt; Slug</v>
      </c>
      <c r="W422" t="s">
        <v>82</v>
      </c>
      <c r="X422" t="s">
        <v>467</v>
      </c>
      <c r="Y422">
        <v>6.8521780000000004E-2</v>
      </c>
    </row>
    <row r="423" spans="1:25">
      <c r="V423" t="str">
        <f t="shared" si="6"/>
        <v>Kilograms &lt;&lt;&lt;&gt;&gt;&gt; Tonne</v>
      </c>
      <c r="W423" t="s">
        <v>82</v>
      </c>
      <c r="X423" t="s">
        <v>468</v>
      </c>
      <c r="Y423">
        <v>1E-3</v>
      </c>
    </row>
    <row r="424" spans="1:25">
      <c r="V424" t="str">
        <f t="shared" si="6"/>
        <v>Kilograms &lt;&lt;&lt;&gt;&gt;&gt; Tons (long)</v>
      </c>
      <c r="W424" t="s">
        <v>82</v>
      </c>
      <c r="X424" t="s">
        <v>469</v>
      </c>
      <c r="Y424">
        <v>9.8420639999999998E-4</v>
      </c>
    </row>
    <row r="425" spans="1:25">
      <c r="V425" t="str">
        <f t="shared" si="6"/>
        <v>Kilograms &lt;&lt;&lt;&gt;&gt;&gt; Tons (metric)</v>
      </c>
      <c r="W425" t="s">
        <v>82</v>
      </c>
      <c r="X425" t="s">
        <v>470</v>
      </c>
      <c r="Y425">
        <v>1E-3</v>
      </c>
    </row>
    <row r="426" spans="1:25">
      <c r="V426" t="str">
        <f t="shared" si="6"/>
        <v>Kilograms &lt;&lt;&lt;&gt;&gt;&gt; Tons (short)</v>
      </c>
      <c r="W426" t="s">
        <v>82</v>
      </c>
      <c r="X426" t="s">
        <v>471</v>
      </c>
      <c r="Y426">
        <v>1.1023109999999999E-3</v>
      </c>
    </row>
    <row r="427" spans="1:25">
      <c r="V427" t="str">
        <f t="shared" si="6"/>
        <v xml:space="preserve">Kilograms  &lt;&lt;&lt;&gt;&gt;&gt; Dynes </v>
      </c>
      <c r="W427" t="s">
        <v>364</v>
      </c>
      <c r="X427" t="s">
        <v>363</v>
      </c>
      <c r="Y427">
        <v>980665</v>
      </c>
    </row>
    <row r="428" spans="1:25">
      <c r="V428" t="str">
        <f t="shared" si="6"/>
        <v xml:space="preserve">Kilograms  &lt;&lt;&lt;&gt;&gt;&gt; Grams </v>
      </c>
      <c r="W428" t="s">
        <v>364</v>
      </c>
      <c r="X428" t="s">
        <v>254</v>
      </c>
      <c r="Y428">
        <v>1000</v>
      </c>
    </row>
    <row r="429" spans="1:25">
      <c r="V429" t="str">
        <f t="shared" si="6"/>
        <v xml:space="preserve">Kilograms  &lt;&lt;&lt;&gt;&gt;&gt; joules/cm </v>
      </c>
      <c r="W429" t="s">
        <v>364</v>
      </c>
      <c r="X429" t="s">
        <v>472</v>
      </c>
      <c r="Y429">
        <v>9.8070000000000004E-2</v>
      </c>
    </row>
    <row r="430" spans="1:25">
      <c r="V430" t="str">
        <f t="shared" si="6"/>
        <v xml:space="preserve">Kilograms  &lt;&lt;&lt;&gt;&gt;&gt; joules/meter (newtons) </v>
      </c>
      <c r="W430" t="s">
        <v>364</v>
      </c>
      <c r="X430" t="s">
        <v>473</v>
      </c>
      <c r="Y430">
        <v>9.8070000000000004</v>
      </c>
    </row>
    <row r="431" spans="1:25">
      <c r="V431" t="str">
        <f t="shared" si="6"/>
        <v xml:space="preserve">Kilograms  &lt;&lt;&lt;&gt;&gt;&gt; Poundals </v>
      </c>
      <c r="W431" t="s">
        <v>364</v>
      </c>
      <c r="X431" t="s">
        <v>365</v>
      </c>
      <c r="Y431">
        <v>70.930000000000007</v>
      </c>
    </row>
    <row r="432" spans="1:25">
      <c r="V432" t="str">
        <f t="shared" si="6"/>
        <v xml:space="preserve">Kilograms  &lt;&lt;&lt;&gt;&gt;&gt; Pounds </v>
      </c>
      <c r="W432" t="s">
        <v>364</v>
      </c>
      <c r="X432" t="s">
        <v>366</v>
      </c>
      <c r="Y432">
        <v>2.2050000000000001</v>
      </c>
    </row>
    <row r="433" spans="22:25">
      <c r="V433" t="str">
        <f t="shared" si="6"/>
        <v xml:space="preserve">Kilograms  &lt;&lt;&lt;&gt;&gt;&gt; Tons (long) </v>
      </c>
      <c r="W433" t="s">
        <v>364</v>
      </c>
      <c r="X433" t="s">
        <v>450</v>
      </c>
      <c r="Y433">
        <v>9.8400000000000007E-4</v>
      </c>
    </row>
    <row r="434" spans="22:25">
      <c r="V434" t="str">
        <f t="shared" si="6"/>
        <v xml:space="preserve">Kilograms  &lt;&lt;&lt;&gt;&gt;&gt; Tons (short) </v>
      </c>
      <c r="W434" t="s">
        <v>364</v>
      </c>
      <c r="X434" t="s">
        <v>474</v>
      </c>
      <c r="Y434">
        <v>1.1000000000000001E-3</v>
      </c>
    </row>
    <row r="435" spans="22:25">
      <c r="V435" t="str">
        <f t="shared" si="6"/>
        <v>Kilograms per Cubic Meter &lt;&lt;&lt;&gt;&gt;&gt; Pounds per Cubic Feet</v>
      </c>
      <c r="W435" t="s">
        <v>475</v>
      </c>
      <c r="X435" t="s">
        <v>476</v>
      </c>
      <c r="Y435">
        <v>6.2427969999999999E-2</v>
      </c>
    </row>
    <row r="436" spans="22:25">
      <c r="V436" t="str">
        <f t="shared" si="6"/>
        <v>Kilograms per Cubic Meter &lt;&lt;&lt;&gt;&gt;&gt; Pounds per Gallon (U.K. liquid)</v>
      </c>
      <c r="W436" t="s">
        <v>475</v>
      </c>
      <c r="X436" t="s">
        <v>477</v>
      </c>
      <c r="Y436">
        <v>1.0022420000000001E-2</v>
      </c>
    </row>
    <row r="437" spans="22:25">
      <c r="V437" t="str">
        <f t="shared" si="6"/>
        <v>Kilograms per Cubic Meter &lt;&lt;&lt;&gt;&gt;&gt; Pounds per Gallon (U.S. liquid)</v>
      </c>
      <c r="W437" t="s">
        <v>475</v>
      </c>
      <c r="X437" t="s">
        <v>478</v>
      </c>
      <c r="Y437">
        <v>8.3454059999999997E-3</v>
      </c>
    </row>
    <row r="438" spans="22:25">
      <c r="V438" t="str">
        <f t="shared" si="6"/>
        <v xml:space="preserve">Kilograms/cu meter  &lt;&lt;&lt;&gt;&gt;&gt; grams/cu cm </v>
      </c>
      <c r="W438" t="s">
        <v>479</v>
      </c>
      <c r="X438" t="s">
        <v>480</v>
      </c>
      <c r="Y438">
        <v>1E-3</v>
      </c>
    </row>
    <row r="439" spans="22:25">
      <c r="V439" t="str">
        <f t="shared" si="6"/>
        <v xml:space="preserve">Kilograms/cu meter  &lt;&lt;&lt;&gt;&gt;&gt; Pound/cu Foot </v>
      </c>
      <c r="W439" t="s">
        <v>479</v>
      </c>
      <c r="X439" t="s">
        <v>481</v>
      </c>
      <c r="Y439">
        <v>6.2429999999999999E-2</v>
      </c>
    </row>
    <row r="440" spans="22:25">
      <c r="V440" t="str">
        <f t="shared" si="6"/>
        <v xml:space="preserve">Kilograms/cu meter  &lt;&lt;&lt;&gt;&gt;&gt; Pounds/cu Inch </v>
      </c>
      <c r="W440" t="s">
        <v>479</v>
      </c>
      <c r="X440" t="s">
        <v>482</v>
      </c>
      <c r="Y440">
        <v>3.6100000000000003E-5</v>
      </c>
    </row>
    <row r="441" spans="22:25">
      <c r="V441" t="str">
        <f t="shared" si="6"/>
        <v xml:space="preserve">Kilograms/cu meter  &lt;&lt;&lt;&gt;&gt;&gt; Pounds/mil-foot </v>
      </c>
      <c r="W441" t="s">
        <v>479</v>
      </c>
      <c r="X441" t="s">
        <v>483</v>
      </c>
      <c r="Y441">
        <v>3.4100000000000001E-10</v>
      </c>
    </row>
    <row r="442" spans="22:25">
      <c r="V442" t="str">
        <f t="shared" si="6"/>
        <v xml:space="preserve">Kilograms/cu meter  &lt;&lt;&lt;&gt;&gt;&gt; Pounds/sq Foot </v>
      </c>
      <c r="W442" t="s">
        <v>479</v>
      </c>
      <c r="X442" t="s">
        <v>484</v>
      </c>
      <c r="Y442">
        <v>0.20480000000000001</v>
      </c>
    </row>
    <row r="443" spans="22:25">
      <c r="V443" t="str">
        <f t="shared" si="6"/>
        <v xml:space="preserve">Kilograms/cu meter  &lt;&lt;&lt;&gt;&gt;&gt; Pounds/sq Inch </v>
      </c>
      <c r="W443" t="s">
        <v>479</v>
      </c>
      <c r="X443" t="s">
        <v>485</v>
      </c>
      <c r="Y443">
        <v>1.42E-3</v>
      </c>
    </row>
    <row r="444" spans="22:25">
      <c r="V444" t="str">
        <f t="shared" si="6"/>
        <v xml:space="preserve">Kilograms/meter  &lt;&lt;&lt;&gt;&gt;&gt; Pounds/Foot </v>
      </c>
      <c r="W444" t="s">
        <v>486</v>
      </c>
      <c r="X444" t="s">
        <v>487</v>
      </c>
      <c r="Y444">
        <v>0.67200000000000004</v>
      </c>
    </row>
    <row r="445" spans="22:25">
      <c r="V445" t="str">
        <f t="shared" si="6"/>
        <v>Kilograms/sq Centimeter &lt;&lt;&lt;&gt;&gt;&gt; Dynes</v>
      </c>
      <c r="W445" t="s">
        <v>488</v>
      </c>
      <c r="X445" t="s">
        <v>358</v>
      </c>
      <c r="Y445">
        <v>980665</v>
      </c>
    </row>
    <row r="446" spans="22:25">
      <c r="V446" t="str">
        <f t="shared" si="6"/>
        <v xml:space="preserve">Kilograms/sq cm  &lt;&lt;&lt;&gt;&gt;&gt; Pounds/sq Foot </v>
      </c>
      <c r="W446" t="s">
        <v>489</v>
      </c>
      <c r="X446" t="s">
        <v>484</v>
      </c>
      <c r="Y446">
        <v>2048</v>
      </c>
    </row>
    <row r="447" spans="22:25">
      <c r="V447" t="str">
        <f t="shared" si="6"/>
        <v xml:space="preserve">Kilograms/sq cm  &lt;&lt;&lt;&gt;&gt;&gt; Pounds/sq Inch </v>
      </c>
      <c r="W447" t="s">
        <v>489</v>
      </c>
      <c r="X447" t="s">
        <v>485</v>
      </c>
      <c r="Y447">
        <v>14.22</v>
      </c>
    </row>
    <row r="448" spans="22:25">
      <c r="V448" t="str">
        <f t="shared" si="6"/>
        <v xml:space="preserve">Kilograms/sq mm  &lt;&lt;&lt;&gt;&gt;&gt; Kgs/sq meter </v>
      </c>
      <c r="W448" t="s">
        <v>490</v>
      </c>
      <c r="X448" t="s">
        <v>491</v>
      </c>
      <c r="Y448">
        <v>1000000</v>
      </c>
    </row>
    <row r="449" spans="22:25">
      <c r="V449" t="str">
        <f t="shared" si="6"/>
        <v>Kilograms-Force &lt;&lt;&lt;&gt;&gt;&gt; Newtons (N)</v>
      </c>
      <c r="W449" t="s">
        <v>492</v>
      </c>
      <c r="X449" t="s">
        <v>361</v>
      </c>
      <c r="Y449">
        <v>9.8066499999999994</v>
      </c>
    </row>
    <row r="450" spans="22:25">
      <c r="V450" t="str">
        <f t="shared" si="6"/>
        <v xml:space="preserve">Kiloliters  &lt;&lt;&lt;&gt;&gt;&gt; Liters </v>
      </c>
      <c r="W450" t="s">
        <v>493</v>
      </c>
      <c r="X450" t="s">
        <v>239</v>
      </c>
      <c r="Y450">
        <v>1000</v>
      </c>
    </row>
    <row r="451" spans="22:25">
      <c r="V451" t="str">
        <f t="shared" ref="V451:V514" si="7">IF(W451="","",W451&amp;" &lt;&lt;&lt;&gt;&gt;&gt; "&amp;X451)</f>
        <v xml:space="preserve">Kilometers  &lt;&lt;&lt;&gt;&gt;&gt; Astronomical unit </v>
      </c>
      <c r="W451" t="s">
        <v>494</v>
      </c>
      <c r="X451" t="s">
        <v>495</v>
      </c>
      <c r="Y451">
        <v>6.6800000000000001E-9</v>
      </c>
    </row>
    <row r="452" spans="22:25">
      <c r="V452" t="str">
        <f t="shared" si="7"/>
        <v xml:space="preserve">Kilometers  &lt;&lt;&lt;&gt;&gt;&gt; Centimeters </v>
      </c>
      <c r="W452" t="s">
        <v>494</v>
      </c>
      <c r="X452" t="s">
        <v>496</v>
      </c>
      <c r="Y452">
        <v>100000</v>
      </c>
    </row>
    <row r="453" spans="22:25">
      <c r="V453" t="str">
        <f t="shared" si="7"/>
        <v xml:space="preserve">Kilometers  &lt;&lt;&lt;&gt;&gt;&gt; Feet </v>
      </c>
      <c r="W453" t="s">
        <v>494</v>
      </c>
      <c r="X453" t="s">
        <v>497</v>
      </c>
      <c r="Y453">
        <v>3280.84</v>
      </c>
    </row>
    <row r="454" spans="22:25">
      <c r="V454" t="str">
        <f t="shared" si="7"/>
        <v xml:space="preserve">Kilometers  &lt;&lt;&lt;&gt;&gt;&gt; Inches </v>
      </c>
      <c r="W454" t="s">
        <v>494</v>
      </c>
      <c r="X454" t="s">
        <v>498</v>
      </c>
      <c r="Y454">
        <v>39400</v>
      </c>
    </row>
    <row r="455" spans="22:25">
      <c r="V455" t="str">
        <f t="shared" si="7"/>
        <v xml:space="preserve">Kilometers  &lt;&lt;&lt;&gt;&gt;&gt; Light year </v>
      </c>
      <c r="W455" t="s">
        <v>494</v>
      </c>
      <c r="X455" t="s">
        <v>499</v>
      </c>
      <c r="Y455">
        <v>1.06E-13</v>
      </c>
    </row>
    <row r="456" spans="22:25">
      <c r="V456" t="str">
        <f t="shared" si="7"/>
        <v xml:space="preserve">Kilometers  &lt;&lt;&lt;&gt;&gt;&gt; Meters </v>
      </c>
      <c r="W456" t="s">
        <v>494</v>
      </c>
      <c r="X456" t="s">
        <v>500</v>
      </c>
      <c r="Y456">
        <v>1000</v>
      </c>
    </row>
    <row r="457" spans="22:25">
      <c r="V457" t="str">
        <f t="shared" si="7"/>
        <v>Kilometers  &lt;&lt;&lt;&gt;&gt;&gt; Miles (U.S. statute)</v>
      </c>
      <c r="W457" t="s">
        <v>494</v>
      </c>
      <c r="X457" t="s">
        <v>501</v>
      </c>
      <c r="Y457">
        <v>0.62137120000000001</v>
      </c>
    </row>
    <row r="458" spans="22:25">
      <c r="V458" t="str">
        <f t="shared" si="7"/>
        <v xml:space="preserve">Kilometers  &lt;&lt;&lt;&gt;&gt;&gt; Millimeters </v>
      </c>
      <c r="W458" t="s">
        <v>494</v>
      </c>
      <c r="X458" t="s">
        <v>502</v>
      </c>
      <c r="Y458">
        <v>1000000</v>
      </c>
    </row>
    <row r="459" spans="22:25">
      <c r="V459" t="str">
        <f t="shared" si="7"/>
        <v xml:space="preserve">Kilometers  &lt;&lt;&lt;&gt;&gt;&gt; Yards </v>
      </c>
      <c r="W459" t="s">
        <v>494</v>
      </c>
      <c r="X459" t="s">
        <v>503</v>
      </c>
      <c r="Y459">
        <v>1094</v>
      </c>
    </row>
    <row r="460" spans="22:25">
      <c r="V460" t="str">
        <f t="shared" si="7"/>
        <v>Kilometers per Hour &lt;&lt;&lt;&gt;&gt;&gt; Miles per Hour (U.S. statute)</v>
      </c>
      <c r="W460" t="s">
        <v>504</v>
      </c>
      <c r="X460" t="s">
        <v>505</v>
      </c>
      <c r="Y460">
        <v>0.62137120000000001</v>
      </c>
    </row>
    <row r="461" spans="22:25">
      <c r="V461" t="str">
        <f t="shared" si="7"/>
        <v xml:space="preserve">Kilometers/Hour  &lt;&lt;&lt;&gt;&gt;&gt; Centimeters/Seconds </v>
      </c>
      <c r="W461" t="s">
        <v>273</v>
      </c>
      <c r="X461" t="s">
        <v>270</v>
      </c>
      <c r="Y461">
        <v>27.78</v>
      </c>
    </row>
    <row r="462" spans="22:25">
      <c r="V462" t="str">
        <f t="shared" si="7"/>
        <v xml:space="preserve">Kilometers/Hour  &lt;&lt;&lt;&gt;&gt;&gt; Feet/Minutes </v>
      </c>
      <c r="W462" t="s">
        <v>273</v>
      </c>
      <c r="X462" t="s">
        <v>271</v>
      </c>
      <c r="Y462">
        <v>54.68</v>
      </c>
    </row>
    <row r="463" spans="22:25">
      <c r="V463" t="str">
        <f t="shared" si="7"/>
        <v xml:space="preserve">Kilometers/Hour  &lt;&lt;&lt;&gt;&gt;&gt; Feet/Seconds </v>
      </c>
      <c r="W463" t="s">
        <v>273</v>
      </c>
      <c r="X463" t="s">
        <v>272</v>
      </c>
      <c r="Y463">
        <v>0.9113</v>
      </c>
    </row>
    <row r="464" spans="22:25">
      <c r="V464" t="str">
        <f t="shared" si="7"/>
        <v xml:space="preserve">Kilometers/Hour  &lt;&lt;&lt;&gt;&gt;&gt; Knots </v>
      </c>
      <c r="W464" t="s">
        <v>273</v>
      </c>
      <c r="X464" t="s">
        <v>274</v>
      </c>
      <c r="Y464">
        <v>0.53959999999999997</v>
      </c>
    </row>
    <row r="465" spans="22:25">
      <c r="V465" t="str">
        <f t="shared" si="7"/>
        <v xml:space="preserve">Kilometers/Hour  &lt;&lt;&lt;&gt;&gt;&gt; Meters/Minutes </v>
      </c>
      <c r="W465" t="s">
        <v>273</v>
      </c>
      <c r="X465" t="s">
        <v>275</v>
      </c>
      <c r="Y465">
        <v>16.670000000000002</v>
      </c>
    </row>
    <row r="466" spans="22:25">
      <c r="V466" t="str">
        <f t="shared" si="7"/>
        <v xml:space="preserve">Kilometers/Hour  &lt;&lt;&lt;&gt;&gt;&gt; Miles/Hour </v>
      </c>
      <c r="W466" t="s">
        <v>273</v>
      </c>
      <c r="X466" t="s">
        <v>276</v>
      </c>
      <c r="Y466">
        <v>0.62139999999999995</v>
      </c>
    </row>
    <row r="467" spans="22:25">
      <c r="V467" t="str">
        <f t="shared" si="7"/>
        <v xml:space="preserve">Kilometers/Hour/Seconds  &lt;&lt;&lt;&gt;&gt;&gt; Centimeters/Hour/Seconds </v>
      </c>
      <c r="W467" t="s">
        <v>280</v>
      </c>
      <c r="X467" t="s">
        <v>506</v>
      </c>
      <c r="Y467">
        <v>27.78</v>
      </c>
    </row>
    <row r="468" spans="22:25">
      <c r="V468" t="str">
        <f t="shared" si="7"/>
        <v xml:space="preserve">Kilometers/Hour/Seconds  &lt;&lt;&lt;&gt;&gt;&gt; Feet/Seconds/Seconds </v>
      </c>
      <c r="W468" t="s">
        <v>280</v>
      </c>
      <c r="X468" t="s">
        <v>279</v>
      </c>
      <c r="Y468">
        <v>0.9113</v>
      </c>
    </row>
    <row r="469" spans="22:25">
      <c r="V469" t="str">
        <f t="shared" si="7"/>
        <v xml:space="preserve">Kilometers/Hour/Seconds  &lt;&lt;&lt;&gt;&gt;&gt; meters/Seconds/Seconds </v>
      </c>
      <c r="W469" t="s">
        <v>280</v>
      </c>
      <c r="X469" t="s">
        <v>281</v>
      </c>
      <c r="Y469">
        <v>0.27779999999999999</v>
      </c>
    </row>
    <row r="470" spans="22:25">
      <c r="V470" t="str">
        <f t="shared" si="7"/>
        <v xml:space="preserve">Kilometers/Hour/Seconds  &lt;&lt;&lt;&gt;&gt;&gt; Miles/Hour/Seconds </v>
      </c>
      <c r="W470" t="s">
        <v>280</v>
      </c>
      <c r="X470" t="s">
        <v>282</v>
      </c>
      <c r="Y470">
        <v>0.62139999999999995</v>
      </c>
    </row>
    <row r="471" spans="22:25">
      <c r="V471" t="str">
        <f t="shared" si="7"/>
        <v>Kilopond &lt;&lt;&lt;&gt;&gt;&gt; Newtons (N)</v>
      </c>
      <c r="W471" t="s">
        <v>507</v>
      </c>
      <c r="X471" t="s">
        <v>361</v>
      </c>
      <c r="Y471">
        <v>9.8066499999999994</v>
      </c>
    </row>
    <row r="472" spans="22:25">
      <c r="V472" t="str">
        <f t="shared" si="7"/>
        <v xml:space="preserve">Kilowatt-Hours  &lt;&lt;&lt;&gt;&gt;&gt; BTU </v>
      </c>
      <c r="W472" t="s">
        <v>1141</v>
      </c>
      <c r="X472" t="s">
        <v>1133</v>
      </c>
      <c r="Y472">
        <v>3413</v>
      </c>
    </row>
    <row r="473" spans="22:25">
      <c r="V473" t="str">
        <f t="shared" si="7"/>
        <v xml:space="preserve">Kilowatt-Hours  &lt;&lt;&lt;&gt;&gt;&gt; Ergs </v>
      </c>
      <c r="W473" t="s">
        <v>1141</v>
      </c>
      <c r="X473" t="s">
        <v>1134</v>
      </c>
      <c r="Y473">
        <v>36000000000000</v>
      </c>
    </row>
    <row r="474" spans="22:25">
      <c r="V474" t="str">
        <f t="shared" si="7"/>
        <v xml:space="preserve">Kilowatt-Hours  &lt;&lt;&lt;&gt;&gt;&gt; Foot-lbs </v>
      </c>
      <c r="W474" t="s">
        <v>1141</v>
      </c>
      <c r="X474" t="s">
        <v>1135</v>
      </c>
      <c r="Y474">
        <v>2660000</v>
      </c>
    </row>
    <row r="475" spans="22:25">
      <c r="V475" t="str">
        <f t="shared" si="7"/>
        <v xml:space="preserve">Kilowatt-Hours  &lt;&lt;&lt;&gt;&gt;&gt; Gram-Calories </v>
      </c>
      <c r="W475" t="s">
        <v>1141</v>
      </c>
      <c r="X475" t="s">
        <v>1136</v>
      </c>
      <c r="Y475">
        <v>859850</v>
      </c>
    </row>
    <row r="476" spans="22:25">
      <c r="V476" t="str">
        <f t="shared" si="7"/>
        <v xml:space="preserve">Kilowatt-Hours  &lt;&lt;&lt;&gt;&gt;&gt; HorsePower-Hours </v>
      </c>
      <c r="W476" t="s">
        <v>1141</v>
      </c>
      <c r="X476" t="s">
        <v>1137</v>
      </c>
      <c r="Y476">
        <v>1.341</v>
      </c>
    </row>
    <row r="477" spans="22:25">
      <c r="V477" t="str">
        <f t="shared" si="7"/>
        <v xml:space="preserve">Kilowatt-Hours  &lt;&lt;&lt;&gt;&gt;&gt; Joules </v>
      </c>
      <c r="W477" t="s">
        <v>1141</v>
      </c>
      <c r="X477" t="s">
        <v>1138</v>
      </c>
      <c r="Y477">
        <v>3600000</v>
      </c>
    </row>
    <row r="478" spans="22:25">
      <c r="V478" t="str">
        <f t="shared" si="7"/>
        <v xml:space="preserve">Kilowatt-Hours  &lt;&lt;&lt;&gt;&gt;&gt; Kilogram-Calories </v>
      </c>
      <c r="W478" t="s">
        <v>1141</v>
      </c>
      <c r="X478" t="s">
        <v>1139</v>
      </c>
      <c r="Y478">
        <v>860.5</v>
      </c>
    </row>
    <row r="479" spans="22:25">
      <c r="V479" t="str">
        <f t="shared" si="7"/>
        <v xml:space="preserve">Kilowatt-Hours  &lt;&lt;&lt;&gt;&gt;&gt; Kilogram-meters </v>
      </c>
      <c r="W479" t="s">
        <v>1141</v>
      </c>
      <c r="X479" t="s">
        <v>1140</v>
      </c>
      <c r="Y479">
        <v>367000</v>
      </c>
    </row>
    <row r="480" spans="22:25">
      <c r="V480" t="str">
        <f t="shared" si="7"/>
        <v>Kilowatt-Hours  &lt;&lt;&lt;&gt;&gt;&gt; lbs of water ^ from 62ø-212øF</v>
      </c>
      <c r="W480" t="s">
        <v>1141</v>
      </c>
      <c r="X480" t="s">
        <v>508</v>
      </c>
      <c r="Y480">
        <v>22.75</v>
      </c>
    </row>
    <row r="481" spans="22:25">
      <c r="V481" t="str">
        <f t="shared" si="7"/>
        <v>Kilowatt-Hours  &lt;&lt;&lt;&gt;&gt;&gt; lbs of water evap. at 212øF</v>
      </c>
      <c r="W481" t="s">
        <v>1141</v>
      </c>
      <c r="X481" t="s">
        <v>509</v>
      </c>
      <c r="Y481">
        <v>3.53</v>
      </c>
    </row>
    <row r="482" spans="22:25">
      <c r="V482" t="str">
        <f t="shared" si="7"/>
        <v xml:space="preserve">Kilowatts  &lt;&lt;&lt;&gt;&gt;&gt; BTU/Minute </v>
      </c>
      <c r="W482" t="s">
        <v>233</v>
      </c>
      <c r="X482" t="s">
        <v>230</v>
      </c>
      <c r="Y482">
        <v>56.92</v>
      </c>
    </row>
    <row r="483" spans="22:25">
      <c r="V483" t="str">
        <f t="shared" si="7"/>
        <v xml:space="preserve">Kilowatts  &lt;&lt;&lt;&gt;&gt;&gt; Foot-lbs/Minute </v>
      </c>
      <c r="W483" t="s">
        <v>233</v>
      </c>
      <c r="X483" t="s">
        <v>439</v>
      </c>
      <c r="Y483">
        <v>44300</v>
      </c>
    </row>
    <row r="484" spans="22:25">
      <c r="V484" t="str">
        <f t="shared" si="7"/>
        <v xml:space="preserve">Kilowatts  &lt;&lt;&lt;&gt;&gt;&gt; Foot-lbs/Second </v>
      </c>
      <c r="W484" t="s">
        <v>233</v>
      </c>
      <c r="X484" t="s">
        <v>231</v>
      </c>
      <c r="Y484">
        <v>737.6</v>
      </c>
    </row>
    <row r="485" spans="22:25">
      <c r="V485" t="str">
        <f t="shared" si="7"/>
        <v xml:space="preserve">Kilowatts  &lt;&lt;&lt;&gt;&gt;&gt; HorsePower </v>
      </c>
      <c r="W485" t="s">
        <v>233</v>
      </c>
      <c r="X485" t="s">
        <v>232</v>
      </c>
      <c r="Y485">
        <v>1.341</v>
      </c>
    </row>
    <row r="486" spans="22:25">
      <c r="V486" t="str">
        <f t="shared" si="7"/>
        <v xml:space="preserve">Kilowatts  &lt;&lt;&lt;&gt;&gt;&gt; Kilogram-Calories/Minute </v>
      </c>
      <c r="W486" t="s">
        <v>233</v>
      </c>
      <c r="X486" t="s">
        <v>440</v>
      </c>
      <c r="Y486">
        <v>14.34</v>
      </c>
    </row>
    <row r="487" spans="22:25">
      <c r="V487" t="str">
        <f t="shared" si="7"/>
        <v xml:space="preserve">Kilowatts  &lt;&lt;&lt;&gt;&gt;&gt; Watts </v>
      </c>
      <c r="W487" t="s">
        <v>233</v>
      </c>
      <c r="X487" t="s">
        <v>229</v>
      </c>
      <c r="Y487">
        <v>1000</v>
      </c>
    </row>
    <row r="488" spans="22:25">
      <c r="V488" t="str">
        <f t="shared" si="7"/>
        <v xml:space="preserve">Knots  &lt;&lt;&lt;&gt;&gt;&gt; Feet/Hour </v>
      </c>
      <c r="W488" t="s">
        <v>274</v>
      </c>
      <c r="X488" t="s">
        <v>510</v>
      </c>
      <c r="Y488">
        <v>6080</v>
      </c>
    </row>
    <row r="489" spans="22:25">
      <c r="V489" t="str">
        <f t="shared" si="7"/>
        <v xml:space="preserve">Knots  &lt;&lt;&lt;&gt;&gt;&gt; Feet/Seconds </v>
      </c>
      <c r="W489" t="s">
        <v>274</v>
      </c>
      <c r="X489" t="s">
        <v>272</v>
      </c>
      <c r="Y489">
        <v>1.6890000000000001</v>
      </c>
    </row>
    <row r="490" spans="22:25">
      <c r="V490" t="str">
        <f t="shared" si="7"/>
        <v xml:space="preserve">Knots  &lt;&lt;&lt;&gt;&gt;&gt; Kilometers/Hour </v>
      </c>
      <c r="W490" t="s">
        <v>274</v>
      </c>
      <c r="X490" t="s">
        <v>273</v>
      </c>
      <c r="Y490">
        <v>1.8532</v>
      </c>
    </row>
    <row r="491" spans="22:25">
      <c r="V491" t="str">
        <f t="shared" si="7"/>
        <v xml:space="preserve">Knots  &lt;&lt;&lt;&gt;&gt;&gt; Nautical Miles/Hour </v>
      </c>
      <c r="W491" t="s">
        <v>274</v>
      </c>
      <c r="X491" t="s">
        <v>511</v>
      </c>
      <c r="Y491">
        <v>1</v>
      </c>
    </row>
    <row r="492" spans="22:25">
      <c r="V492" t="str">
        <f t="shared" si="7"/>
        <v xml:space="preserve">Knots  &lt;&lt;&lt;&gt;&gt;&gt; Statute Miles/Hour </v>
      </c>
      <c r="W492" t="s">
        <v>274</v>
      </c>
      <c r="X492" t="s">
        <v>512</v>
      </c>
      <c r="Y492">
        <v>1.151</v>
      </c>
    </row>
    <row r="493" spans="22:25">
      <c r="V493" t="str">
        <f t="shared" si="7"/>
        <v xml:space="preserve">Knots  &lt;&lt;&lt;&gt;&gt;&gt; Yards/Hour </v>
      </c>
      <c r="W493" t="s">
        <v>274</v>
      </c>
      <c r="X493" t="s">
        <v>513</v>
      </c>
      <c r="Y493">
        <v>2027</v>
      </c>
    </row>
    <row r="494" spans="22:25">
      <c r="V494" t="str">
        <f t="shared" si="7"/>
        <v>League &lt;&lt;&lt;&gt;&gt;&gt; Miles</v>
      </c>
      <c r="W494" t="s">
        <v>514</v>
      </c>
      <c r="X494" t="s">
        <v>68</v>
      </c>
      <c r="Y494">
        <v>3</v>
      </c>
    </row>
    <row r="495" spans="22:25">
      <c r="V495" t="str">
        <f t="shared" si="7"/>
        <v xml:space="preserve">Light-year  &lt;&lt;&lt;&gt;&gt;&gt; Kilometers </v>
      </c>
      <c r="W495" t="s">
        <v>515</v>
      </c>
      <c r="X495" t="s">
        <v>494</v>
      </c>
      <c r="Y495">
        <v>9460000000000</v>
      </c>
    </row>
    <row r="496" spans="22:25">
      <c r="V496" t="str">
        <f t="shared" si="7"/>
        <v xml:space="preserve">Light-year  &lt;&lt;&lt;&gt;&gt;&gt; Miles </v>
      </c>
      <c r="W496" t="s">
        <v>515</v>
      </c>
      <c r="X496" t="s">
        <v>516</v>
      </c>
      <c r="Y496">
        <v>5900000000000</v>
      </c>
    </row>
    <row r="497" spans="22:25">
      <c r="V497" t="str">
        <f t="shared" si="7"/>
        <v xml:space="preserve">Links (engineer's)  &lt;&lt;&lt;&gt;&gt;&gt; Inches </v>
      </c>
      <c r="W497" t="s">
        <v>517</v>
      </c>
      <c r="X497" t="s">
        <v>498</v>
      </c>
      <c r="Y497">
        <v>12</v>
      </c>
    </row>
    <row r="498" spans="22:25">
      <c r="V498" t="str">
        <f t="shared" si="7"/>
        <v xml:space="preserve">Links (surveyor's)  &lt;&lt;&lt;&gt;&gt;&gt; Inches </v>
      </c>
      <c r="W498" t="s">
        <v>518</v>
      </c>
      <c r="X498" t="s">
        <v>498</v>
      </c>
      <c r="Y498">
        <v>7.92</v>
      </c>
    </row>
    <row r="499" spans="22:25">
      <c r="V499" t="str">
        <f t="shared" si="7"/>
        <v xml:space="preserve">Liters  &lt;&lt;&lt;&gt;&gt;&gt; Bushels (U.S. dry) </v>
      </c>
      <c r="W499" t="s">
        <v>239</v>
      </c>
      <c r="X499" t="s">
        <v>519</v>
      </c>
      <c r="Y499">
        <v>2.8379999999999999E-2</v>
      </c>
    </row>
    <row r="500" spans="22:25">
      <c r="V500" t="str">
        <f t="shared" si="7"/>
        <v xml:space="preserve">Liters  &lt;&lt;&lt;&gt;&gt;&gt; Cubic cm </v>
      </c>
      <c r="W500" t="s">
        <v>239</v>
      </c>
      <c r="X500" t="s">
        <v>407</v>
      </c>
      <c r="Y500">
        <v>1000</v>
      </c>
    </row>
    <row r="501" spans="22:25">
      <c r="V501" t="str">
        <f t="shared" si="7"/>
        <v xml:space="preserve">Liters  &lt;&lt;&lt;&gt;&gt;&gt; Cubic Feet </v>
      </c>
      <c r="W501" t="s">
        <v>239</v>
      </c>
      <c r="X501" t="s">
        <v>1093</v>
      </c>
      <c r="Y501">
        <v>3.5314659999999998E-2</v>
      </c>
    </row>
    <row r="502" spans="22:25">
      <c r="V502" t="str">
        <f t="shared" si="7"/>
        <v xml:space="preserve">Liters  &lt;&lt;&lt;&gt;&gt;&gt; Cubic Inches </v>
      </c>
      <c r="W502" t="s">
        <v>239</v>
      </c>
      <c r="X502" t="s">
        <v>237</v>
      </c>
      <c r="Y502">
        <v>61.02</v>
      </c>
    </row>
    <row r="503" spans="22:25">
      <c r="V503" t="str">
        <f t="shared" si="7"/>
        <v xml:space="preserve">Liters  &lt;&lt;&lt;&gt;&gt;&gt; Cubic Meters </v>
      </c>
      <c r="W503" t="s">
        <v>239</v>
      </c>
      <c r="X503" t="s">
        <v>238</v>
      </c>
      <c r="Y503">
        <v>1E-3</v>
      </c>
    </row>
    <row r="504" spans="22:25">
      <c r="V504" t="str">
        <f t="shared" si="7"/>
        <v xml:space="preserve">Liters  &lt;&lt;&lt;&gt;&gt;&gt; Cubic Yards </v>
      </c>
      <c r="W504" t="s">
        <v>239</v>
      </c>
      <c r="X504" t="s">
        <v>306</v>
      </c>
      <c r="Y504">
        <v>1.31E-3</v>
      </c>
    </row>
    <row r="505" spans="22:25">
      <c r="V505" t="str">
        <f t="shared" si="7"/>
        <v>Liters  &lt;&lt;&lt;&gt;&gt;&gt; Gallon (U.K. liquid)</v>
      </c>
      <c r="W505" t="s">
        <v>239</v>
      </c>
      <c r="X505" t="s">
        <v>325</v>
      </c>
      <c r="Y505">
        <v>0.2199692</v>
      </c>
    </row>
    <row r="506" spans="22:25">
      <c r="V506" t="str">
        <f t="shared" si="7"/>
        <v xml:space="preserve">Liters  &lt;&lt;&lt;&gt;&gt;&gt; Gallons (U.S. liq.) </v>
      </c>
      <c r="W506" t="s">
        <v>239</v>
      </c>
      <c r="X506" t="s">
        <v>520</v>
      </c>
      <c r="Y506">
        <v>0.26417200000000002</v>
      </c>
    </row>
    <row r="507" spans="22:25">
      <c r="V507" t="str">
        <f t="shared" si="7"/>
        <v xml:space="preserve">Liters  &lt;&lt;&lt;&gt;&gt;&gt; Pints (U.S. liq.) </v>
      </c>
      <c r="W507" t="s">
        <v>239</v>
      </c>
      <c r="X507" t="s">
        <v>521</v>
      </c>
      <c r="Y507">
        <v>2.1133760000000001</v>
      </c>
    </row>
    <row r="508" spans="22:25">
      <c r="V508" t="str">
        <f t="shared" si="7"/>
        <v xml:space="preserve">Liters  &lt;&lt;&lt;&gt;&gt;&gt; Quarts (U.S. liq.) </v>
      </c>
      <c r="W508" t="s">
        <v>239</v>
      </c>
      <c r="X508" t="s">
        <v>522</v>
      </c>
      <c r="Y508">
        <v>1.0566880000000001</v>
      </c>
    </row>
    <row r="509" spans="22:25">
      <c r="V509" t="str">
        <f t="shared" si="7"/>
        <v>Liters per Minute &lt;&lt;&lt;&gt;&gt;&gt; Cubic Feet per Minute</v>
      </c>
      <c r="W509" t="s">
        <v>312</v>
      </c>
      <c r="X509" t="s">
        <v>310</v>
      </c>
      <c r="Y509">
        <v>3.5314659999999998E-2</v>
      </c>
    </row>
    <row r="510" spans="22:25">
      <c r="V510" t="str">
        <f t="shared" si="7"/>
        <v>Liters per Minute &lt;&lt;&lt;&gt;&gt;&gt; Gallon (U.S. liquid) per Minute</v>
      </c>
      <c r="W510" t="s">
        <v>312</v>
      </c>
      <c r="X510" t="s">
        <v>523</v>
      </c>
      <c r="Y510">
        <v>0.26417200000000002</v>
      </c>
    </row>
    <row r="511" spans="22:25">
      <c r="V511" t="str">
        <f t="shared" si="7"/>
        <v>Liters per Second &lt;&lt;&lt;&gt;&gt;&gt; Gallon (U.S. liquid) per Minute</v>
      </c>
      <c r="W511" t="s">
        <v>396</v>
      </c>
      <c r="X511" t="s">
        <v>523</v>
      </c>
      <c r="Y511">
        <v>15.85032</v>
      </c>
    </row>
    <row r="512" spans="22:25">
      <c r="V512" t="str">
        <f t="shared" si="7"/>
        <v xml:space="preserve">Liters/Minute  &lt;&lt;&lt;&gt;&gt;&gt; Cubic Feet/Second </v>
      </c>
      <c r="W512" t="s">
        <v>524</v>
      </c>
      <c r="X512" t="s">
        <v>318</v>
      </c>
      <c r="Y512">
        <v>5.8900000000000001E-4</v>
      </c>
    </row>
    <row r="513" spans="22:25">
      <c r="V513" t="str">
        <f t="shared" si="7"/>
        <v xml:space="preserve">Liters/Minute  &lt;&lt;&lt;&gt;&gt;&gt; Gallons/Second </v>
      </c>
      <c r="W513" t="s">
        <v>524</v>
      </c>
      <c r="X513" t="s">
        <v>315</v>
      </c>
      <c r="Y513">
        <v>4.4000000000000003E-3</v>
      </c>
    </row>
    <row r="514" spans="22:25">
      <c r="V514" t="str">
        <f t="shared" si="7"/>
        <v xml:space="preserve">Lumen  &lt;&lt;&lt;&gt;&gt;&gt; Spherical Candle Power </v>
      </c>
      <c r="W514" t="s">
        <v>525</v>
      </c>
      <c r="X514" t="s">
        <v>526</v>
      </c>
      <c r="Y514">
        <v>7.9579999999999998E-2</v>
      </c>
    </row>
    <row r="515" spans="22:25">
      <c r="V515" t="str">
        <f t="shared" ref="V515:V578" si="8">IF(W515="","",W515&amp;" &lt;&lt;&lt;&gt;&gt;&gt; "&amp;X515)</f>
        <v xml:space="preserve">Lumen  &lt;&lt;&lt;&gt;&gt;&gt; Watt </v>
      </c>
      <c r="W515" t="s">
        <v>525</v>
      </c>
      <c r="X515" t="s">
        <v>527</v>
      </c>
      <c r="Y515">
        <v>1.4959999999999999E-3</v>
      </c>
    </row>
    <row r="516" spans="22:25">
      <c r="V516" t="str">
        <f t="shared" si="8"/>
        <v xml:space="preserve">Lumens/sq Foot  &lt;&lt;&lt;&gt;&gt;&gt; Foot-Candles </v>
      </c>
      <c r="W516" t="s">
        <v>528</v>
      </c>
      <c r="X516" t="s">
        <v>529</v>
      </c>
      <c r="Y516">
        <v>1</v>
      </c>
    </row>
    <row r="517" spans="22:25">
      <c r="V517" t="str">
        <f t="shared" si="8"/>
        <v xml:space="preserve">Lumens/sq Foot  &lt;&lt;&lt;&gt;&gt;&gt; Lumen/sq Meter </v>
      </c>
      <c r="W517" t="s">
        <v>528</v>
      </c>
      <c r="X517" t="s">
        <v>530</v>
      </c>
      <c r="Y517">
        <v>10.76</v>
      </c>
    </row>
    <row r="518" spans="22:25">
      <c r="V518" t="str">
        <f t="shared" si="8"/>
        <v xml:space="preserve">Lumens/Square Foot  &lt;&lt;&lt;&gt;&gt;&gt; Foot-Candles </v>
      </c>
      <c r="W518" t="s">
        <v>531</v>
      </c>
      <c r="X518" t="s">
        <v>529</v>
      </c>
      <c r="Y518">
        <v>1</v>
      </c>
    </row>
    <row r="519" spans="22:25">
      <c r="V519" t="str">
        <f t="shared" si="8"/>
        <v xml:space="preserve">Lumens/Square Foot  &lt;&lt;&lt;&gt;&gt;&gt; Lumen/Square Meter </v>
      </c>
      <c r="W519" t="s">
        <v>531</v>
      </c>
      <c r="X519" t="s">
        <v>388</v>
      </c>
      <c r="Y519">
        <v>10.76</v>
      </c>
    </row>
    <row r="520" spans="22:25">
      <c r="V520" t="str">
        <f t="shared" si="8"/>
        <v xml:space="preserve">Lux  &lt;&lt;&lt;&gt;&gt;&gt; Foot-Candles </v>
      </c>
      <c r="W520" t="s">
        <v>532</v>
      </c>
      <c r="X520" t="s">
        <v>529</v>
      </c>
      <c r="Y520">
        <v>9.2899999999999996E-2</v>
      </c>
    </row>
    <row r="521" spans="22:25">
      <c r="V521" t="str">
        <f t="shared" si="8"/>
        <v xml:space="preserve">Megohms  &lt;&lt;&lt;&gt;&gt;&gt; Microhms </v>
      </c>
      <c r="W521" t="s">
        <v>533</v>
      </c>
      <c r="X521" t="s">
        <v>534</v>
      </c>
      <c r="Y521">
        <v>1000000000000</v>
      </c>
    </row>
    <row r="522" spans="22:25">
      <c r="V522" t="str">
        <f t="shared" si="8"/>
        <v xml:space="preserve">Megohms  &lt;&lt;&lt;&gt;&gt;&gt; Ohms </v>
      </c>
      <c r="W522" t="s">
        <v>533</v>
      </c>
      <c r="X522" t="s">
        <v>535</v>
      </c>
      <c r="Y522">
        <v>1000000</v>
      </c>
    </row>
    <row r="523" spans="22:25">
      <c r="V523" t="str">
        <f t="shared" si="8"/>
        <v xml:space="preserve">Meters  &lt;&lt;&lt;&gt;&gt;&gt; Fathom </v>
      </c>
      <c r="W523" t="s">
        <v>500</v>
      </c>
      <c r="X523" t="s">
        <v>536</v>
      </c>
      <c r="Y523">
        <v>0.54680660000000003</v>
      </c>
    </row>
    <row r="524" spans="22:25">
      <c r="V524" t="str">
        <f t="shared" si="8"/>
        <v>Meters  &lt;&lt;&lt;&gt;&gt;&gt; Feet</v>
      </c>
      <c r="W524" t="s">
        <v>500</v>
      </c>
      <c r="X524" t="s">
        <v>62</v>
      </c>
      <c r="Y524">
        <v>3.28084</v>
      </c>
    </row>
    <row r="525" spans="22:25">
      <c r="V525" t="str">
        <f t="shared" si="8"/>
        <v xml:space="preserve">Meters  &lt;&lt;&lt;&gt;&gt;&gt; Inches </v>
      </c>
      <c r="W525" t="s">
        <v>500</v>
      </c>
      <c r="X525" t="s">
        <v>498</v>
      </c>
      <c r="Y525">
        <v>39.370080000000002</v>
      </c>
    </row>
    <row r="526" spans="22:25">
      <c r="V526" t="str">
        <f t="shared" si="8"/>
        <v xml:space="preserve">Meters  &lt;&lt;&lt;&gt;&gt;&gt; Kilometers </v>
      </c>
      <c r="W526" t="s">
        <v>500</v>
      </c>
      <c r="X526" t="s">
        <v>494</v>
      </c>
      <c r="Y526">
        <v>1E-3</v>
      </c>
    </row>
    <row r="527" spans="22:25">
      <c r="V527" t="str">
        <f t="shared" si="8"/>
        <v xml:space="preserve">Meters  &lt;&lt;&lt;&gt;&gt;&gt; Miles (nautical) </v>
      </c>
      <c r="W527" t="s">
        <v>500</v>
      </c>
      <c r="X527" t="s">
        <v>537</v>
      </c>
      <c r="Y527">
        <v>5.4000000000000001E-4</v>
      </c>
    </row>
    <row r="528" spans="22:25">
      <c r="V528" t="str">
        <f t="shared" si="8"/>
        <v xml:space="preserve">Meters  &lt;&lt;&lt;&gt;&gt;&gt; Miles (statute) </v>
      </c>
      <c r="W528" t="s">
        <v>500</v>
      </c>
      <c r="X528" t="s">
        <v>538</v>
      </c>
      <c r="Y528">
        <v>6.2137119999999997E-4</v>
      </c>
    </row>
    <row r="529" spans="22:25">
      <c r="V529" t="str">
        <f t="shared" si="8"/>
        <v xml:space="preserve">Meters  &lt;&lt;&lt;&gt;&gt;&gt; Millimeters </v>
      </c>
      <c r="W529" t="s">
        <v>500</v>
      </c>
      <c r="X529" t="s">
        <v>502</v>
      </c>
      <c r="Y529">
        <v>1000</v>
      </c>
    </row>
    <row r="530" spans="22:25">
      <c r="V530" t="str">
        <f t="shared" si="8"/>
        <v>Meters  &lt;&lt;&lt;&gt;&gt;&gt; Rods</v>
      </c>
      <c r="W530" t="s">
        <v>500</v>
      </c>
      <c r="X530" t="s">
        <v>393</v>
      </c>
      <c r="Y530">
        <v>0.19883880000000001</v>
      </c>
    </row>
    <row r="531" spans="22:25">
      <c r="V531" t="str">
        <f t="shared" si="8"/>
        <v xml:space="preserve">Meters  &lt;&lt;&lt;&gt;&gt;&gt; Yards </v>
      </c>
      <c r="W531" t="s">
        <v>500</v>
      </c>
      <c r="X531" t="s">
        <v>503</v>
      </c>
      <c r="Y531">
        <v>1.0940000000000001</v>
      </c>
    </row>
    <row r="532" spans="22:25">
      <c r="V532" t="str">
        <f t="shared" si="8"/>
        <v xml:space="preserve">Meters/Hour &lt;&lt;&lt;&gt;&gt;&gt; Feet/Hour </v>
      </c>
      <c r="W532" t="s">
        <v>539</v>
      </c>
      <c r="X532" t="s">
        <v>510</v>
      </c>
      <c r="Y532">
        <v>3.28084</v>
      </c>
    </row>
    <row r="533" spans="22:25">
      <c r="V533" t="str">
        <f t="shared" si="8"/>
        <v>Meters/Hour &lt;&lt;&lt;&gt;&gt;&gt; Feet/Minute</v>
      </c>
      <c r="W533" t="s">
        <v>539</v>
      </c>
      <c r="X533" t="s">
        <v>540</v>
      </c>
      <c r="Y533">
        <v>5.4680670000000001E-2</v>
      </c>
    </row>
    <row r="534" spans="22:25">
      <c r="V534" t="str">
        <f t="shared" si="8"/>
        <v>Meters/Minute &lt;&lt;&lt;&gt;&gt;&gt; Inches/Minute</v>
      </c>
      <c r="W534" t="s">
        <v>541</v>
      </c>
      <c r="X534" t="s">
        <v>542</v>
      </c>
      <c r="Y534">
        <v>39.370080000000002</v>
      </c>
    </row>
    <row r="535" spans="22:25">
      <c r="V535" t="str">
        <f t="shared" si="8"/>
        <v xml:space="preserve">Meters/Minutes  &lt;&lt;&lt;&gt;&gt;&gt; Centimeters/Seconds </v>
      </c>
      <c r="W535" t="s">
        <v>275</v>
      </c>
      <c r="X535" t="s">
        <v>270</v>
      </c>
      <c r="Y535">
        <v>1.667</v>
      </c>
    </row>
    <row r="536" spans="22:25">
      <c r="V536" t="str">
        <f t="shared" si="8"/>
        <v xml:space="preserve">Meters/Minutes  &lt;&lt;&lt;&gt;&gt;&gt; Feet/Minutes </v>
      </c>
      <c r="W536" t="s">
        <v>275</v>
      </c>
      <c r="X536" t="s">
        <v>271</v>
      </c>
      <c r="Y536">
        <v>3.28084</v>
      </c>
    </row>
    <row r="537" spans="22:25">
      <c r="V537" t="str">
        <f t="shared" si="8"/>
        <v xml:space="preserve">Meters/Minutes  &lt;&lt;&lt;&gt;&gt;&gt; Feet/Seconds </v>
      </c>
      <c r="W537" t="s">
        <v>275</v>
      </c>
      <c r="X537" t="s">
        <v>272</v>
      </c>
      <c r="Y537">
        <v>5.4680670000000001E-2</v>
      </c>
    </row>
    <row r="538" spans="22:25">
      <c r="V538" t="str">
        <f t="shared" si="8"/>
        <v xml:space="preserve">Meters/Minutes  &lt;&lt;&lt;&gt;&gt;&gt; Kilometers/Hour </v>
      </c>
      <c r="W538" t="s">
        <v>275</v>
      </c>
      <c r="X538" t="s">
        <v>273</v>
      </c>
      <c r="Y538">
        <v>0.06</v>
      </c>
    </row>
    <row r="539" spans="22:25">
      <c r="V539" t="str">
        <f t="shared" si="8"/>
        <v xml:space="preserve">Meters/Minutes  &lt;&lt;&lt;&gt;&gt;&gt; Knots </v>
      </c>
      <c r="W539" t="s">
        <v>275</v>
      </c>
      <c r="X539" t="s">
        <v>274</v>
      </c>
      <c r="Y539">
        <v>3.2379999999999999E-2</v>
      </c>
    </row>
    <row r="540" spans="22:25">
      <c r="V540" t="str">
        <f t="shared" si="8"/>
        <v xml:space="preserve">Meters/Minutes  &lt;&lt;&lt;&gt;&gt;&gt; Miles/Hour </v>
      </c>
      <c r="W540" t="s">
        <v>275</v>
      </c>
      <c r="X540" t="s">
        <v>276</v>
      </c>
      <c r="Y540">
        <v>3.7280000000000001E-2</v>
      </c>
    </row>
    <row r="541" spans="22:25">
      <c r="V541" t="str">
        <f t="shared" si="8"/>
        <v xml:space="preserve">Meters/Seconds  &lt;&lt;&lt;&gt;&gt;&gt; Feet/Hour </v>
      </c>
      <c r="W541" t="s">
        <v>543</v>
      </c>
      <c r="X541" t="s">
        <v>510</v>
      </c>
      <c r="Y541">
        <v>11811.02</v>
      </c>
    </row>
    <row r="542" spans="22:25">
      <c r="V542" t="str">
        <f t="shared" si="8"/>
        <v xml:space="preserve">Meters/Seconds  &lt;&lt;&lt;&gt;&gt;&gt; Feet/Minutes </v>
      </c>
      <c r="W542" t="s">
        <v>543</v>
      </c>
      <c r="X542" t="s">
        <v>271</v>
      </c>
      <c r="Y542">
        <v>196.85040000000001</v>
      </c>
    </row>
    <row r="543" spans="22:25">
      <c r="V543" t="str">
        <f t="shared" si="8"/>
        <v xml:space="preserve">Meters/Seconds  &lt;&lt;&lt;&gt;&gt;&gt; Feet/Seconds </v>
      </c>
      <c r="W543" t="s">
        <v>543</v>
      </c>
      <c r="X543" t="s">
        <v>272</v>
      </c>
      <c r="Y543">
        <v>3.28084</v>
      </c>
    </row>
    <row r="544" spans="22:25">
      <c r="V544" t="str">
        <f t="shared" si="8"/>
        <v xml:space="preserve">Meters/Seconds  &lt;&lt;&lt;&gt;&gt;&gt; Kilometers/Hour </v>
      </c>
      <c r="W544" t="s">
        <v>543</v>
      </c>
      <c r="X544" t="s">
        <v>273</v>
      </c>
      <c r="Y544">
        <v>3.6</v>
      </c>
    </row>
    <row r="545" spans="22:25">
      <c r="V545" t="str">
        <f t="shared" si="8"/>
        <v xml:space="preserve">Meters/Seconds  &lt;&lt;&lt;&gt;&gt;&gt; Kilometers/Minutes </v>
      </c>
      <c r="W545" t="s">
        <v>543</v>
      </c>
      <c r="X545" t="s">
        <v>544</v>
      </c>
      <c r="Y545">
        <v>0.06</v>
      </c>
    </row>
    <row r="546" spans="22:25">
      <c r="V546" t="str">
        <f t="shared" si="8"/>
        <v xml:space="preserve">Meters/Seconds  &lt;&lt;&lt;&gt;&gt;&gt; Miles/Hour </v>
      </c>
      <c r="W546" t="s">
        <v>543</v>
      </c>
      <c r="X546" t="s">
        <v>276</v>
      </c>
      <c r="Y546">
        <v>2.2370000000000001</v>
      </c>
    </row>
    <row r="547" spans="22:25">
      <c r="V547" t="str">
        <f t="shared" si="8"/>
        <v xml:space="preserve">Meters/Seconds  &lt;&lt;&lt;&gt;&gt;&gt; Miles/Minutes </v>
      </c>
      <c r="W547" t="s">
        <v>543</v>
      </c>
      <c r="X547" t="s">
        <v>277</v>
      </c>
      <c r="Y547">
        <v>3.7280000000000001E-2</v>
      </c>
    </row>
    <row r="548" spans="22:25">
      <c r="V548" t="str">
        <f t="shared" si="8"/>
        <v xml:space="preserve">Meters/Seconds/Seconds  &lt;&lt;&lt;&gt;&gt;&gt; Centimeters/Seconds/Seconds </v>
      </c>
      <c r="W548" t="s">
        <v>385</v>
      </c>
      <c r="X548" t="s">
        <v>278</v>
      </c>
      <c r="Y548">
        <v>100</v>
      </c>
    </row>
    <row r="549" spans="22:25">
      <c r="V549" t="str">
        <f t="shared" si="8"/>
        <v xml:space="preserve">Meters/Seconds/Seconds  &lt;&lt;&lt;&gt;&gt;&gt; Feet/Seconds/Seconds </v>
      </c>
      <c r="W549" t="s">
        <v>385</v>
      </c>
      <c r="X549" t="s">
        <v>279</v>
      </c>
      <c r="Y549">
        <v>3.2810000000000001</v>
      </c>
    </row>
    <row r="550" spans="22:25">
      <c r="V550" t="str">
        <f t="shared" si="8"/>
        <v xml:space="preserve">Meters/Seconds/Seconds  &lt;&lt;&lt;&gt;&gt;&gt; Kilometers/Hour/Seconds </v>
      </c>
      <c r="W550" t="s">
        <v>385</v>
      </c>
      <c r="X550" t="s">
        <v>280</v>
      </c>
      <c r="Y550">
        <v>3.6</v>
      </c>
    </row>
    <row r="551" spans="22:25">
      <c r="V551" t="str">
        <f t="shared" si="8"/>
        <v xml:space="preserve">Meters/Seconds/Seconds  &lt;&lt;&lt;&gt;&gt;&gt; Miles/Hour/Seconds </v>
      </c>
      <c r="W551" t="s">
        <v>385</v>
      </c>
      <c r="X551" t="s">
        <v>282</v>
      </c>
      <c r="Y551">
        <v>2.2370000000000001</v>
      </c>
    </row>
    <row r="552" spans="22:25">
      <c r="V552" t="str">
        <f t="shared" si="8"/>
        <v xml:space="preserve">Micrograms  &lt;&lt;&lt;&gt;&gt;&gt; Grams </v>
      </c>
      <c r="W552" t="s">
        <v>545</v>
      </c>
      <c r="X552" t="s">
        <v>254</v>
      </c>
      <c r="Y552">
        <v>9.9999999999999995E-7</v>
      </c>
    </row>
    <row r="553" spans="22:25">
      <c r="V553" t="str">
        <f t="shared" si="8"/>
        <v xml:space="preserve">Microhms  &lt;&lt;&lt;&gt;&gt;&gt; Megohms </v>
      </c>
      <c r="W553" t="s">
        <v>534</v>
      </c>
      <c r="X553" t="s">
        <v>533</v>
      </c>
      <c r="Y553">
        <v>9.9999999999999998E-13</v>
      </c>
    </row>
    <row r="554" spans="22:25">
      <c r="V554" t="str">
        <f t="shared" si="8"/>
        <v xml:space="preserve">Microhms  &lt;&lt;&lt;&gt;&gt;&gt; Ohms </v>
      </c>
      <c r="W554" t="s">
        <v>534</v>
      </c>
      <c r="X554" t="s">
        <v>535</v>
      </c>
      <c r="Y554">
        <v>9.9999999999999995E-7</v>
      </c>
    </row>
    <row r="555" spans="22:25">
      <c r="V555" t="str">
        <f t="shared" si="8"/>
        <v xml:space="preserve">Microliters  &lt;&lt;&lt;&gt;&gt;&gt; Liters </v>
      </c>
      <c r="W555" t="s">
        <v>546</v>
      </c>
      <c r="X555" t="s">
        <v>239</v>
      </c>
      <c r="Y555">
        <v>9.9999999999999995E-7</v>
      </c>
    </row>
    <row r="556" spans="22:25">
      <c r="V556" t="str">
        <f t="shared" si="8"/>
        <v xml:space="preserve">Microns  &lt;&lt;&lt;&gt;&gt;&gt; Meters </v>
      </c>
      <c r="W556" t="s">
        <v>547</v>
      </c>
      <c r="X556" t="s">
        <v>500</v>
      </c>
      <c r="Y556">
        <v>9.9999999999999995E-7</v>
      </c>
    </row>
    <row r="557" spans="22:25">
      <c r="V557" t="str">
        <f t="shared" si="8"/>
        <v xml:space="preserve">Miles (nautical)  &lt;&lt;&lt;&gt;&gt;&gt; Feet </v>
      </c>
      <c r="W557" t="s">
        <v>537</v>
      </c>
      <c r="X557" t="s">
        <v>497</v>
      </c>
      <c r="Y557">
        <v>6080.27</v>
      </c>
    </row>
    <row r="558" spans="22:25">
      <c r="V558" t="str">
        <f t="shared" si="8"/>
        <v xml:space="preserve">Miles (nautical)  &lt;&lt;&lt;&gt;&gt;&gt; Kilometers </v>
      </c>
      <c r="W558" t="s">
        <v>537</v>
      </c>
      <c r="X558" t="s">
        <v>494</v>
      </c>
      <c r="Y558">
        <v>1.853</v>
      </c>
    </row>
    <row r="559" spans="22:25">
      <c r="V559" t="str">
        <f t="shared" si="8"/>
        <v xml:space="preserve">Miles (nautical)  &lt;&lt;&lt;&gt;&gt;&gt; Meters </v>
      </c>
      <c r="W559" t="s">
        <v>537</v>
      </c>
      <c r="X559" t="s">
        <v>500</v>
      </c>
      <c r="Y559">
        <v>1853</v>
      </c>
    </row>
    <row r="560" spans="22:25">
      <c r="V560" t="str">
        <f t="shared" si="8"/>
        <v xml:space="preserve">Miles (nautical)  &lt;&lt;&lt;&gt;&gt;&gt; Miles (statute) </v>
      </c>
      <c r="W560" t="s">
        <v>537</v>
      </c>
      <c r="X560" t="s">
        <v>538</v>
      </c>
      <c r="Y560">
        <v>1.1516</v>
      </c>
    </row>
    <row r="561" spans="22:25">
      <c r="V561" t="str">
        <f t="shared" si="8"/>
        <v xml:space="preserve">Miles (nautical)  &lt;&lt;&lt;&gt;&gt;&gt; Yards </v>
      </c>
      <c r="W561" t="s">
        <v>537</v>
      </c>
      <c r="X561" t="s">
        <v>503</v>
      </c>
      <c r="Y561">
        <v>2027</v>
      </c>
    </row>
    <row r="562" spans="22:25">
      <c r="V562" t="str">
        <f t="shared" si="8"/>
        <v xml:space="preserve">Miles (statute)  &lt;&lt;&lt;&gt;&gt;&gt; Centimeters </v>
      </c>
      <c r="W562" t="s">
        <v>538</v>
      </c>
      <c r="X562" t="s">
        <v>496</v>
      </c>
      <c r="Y562">
        <v>161000</v>
      </c>
    </row>
    <row r="563" spans="22:25">
      <c r="V563" t="str">
        <f t="shared" si="8"/>
        <v xml:space="preserve">Miles (statute)  &lt;&lt;&lt;&gt;&gt;&gt; Feet </v>
      </c>
      <c r="W563" t="s">
        <v>538</v>
      </c>
      <c r="X563" t="s">
        <v>497</v>
      </c>
      <c r="Y563">
        <v>5280</v>
      </c>
    </row>
    <row r="564" spans="22:25">
      <c r="V564" t="str">
        <f t="shared" si="8"/>
        <v xml:space="preserve">Miles (statute)  &lt;&lt;&lt;&gt;&gt;&gt; Inches </v>
      </c>
      <c r="W564" t="s">
        <v>538</v>
      </c>
      <c r="X564" t="s">
        <v>498</v>
      </c>
      <c r="Y564">
        <v>63400</v>
      </c>
    </row>
    <row r="565" spans="22:25">
      <c r="V565" t="str">
        <f t="shared" si="8"/>
        <v xml:space="preserve">Miles (statute)  &lt;&lt;&lt;&gt;&gt;&gt; Kilometers </v>
      </c>
      <c r="W565" t="s">
        <v>538</v>
      </c>
      <c r="X565" t="s">
        <v>494</v>
      </c>
      <c r="Y565">
        <v>1.609</v>
      </c>
    </row>
    <row r="566" spans="22:25">
      <c r="V566" t="str">
        <f t="shared" si="8"/>
        <v xml:space="preserve">Miles (statute)  &lt;&lt;&lt;&gt;&gt;&gt; Meters </v>
      </c>
      <c r="W566" t="s">
        <v>538</v>
      </c>
      <c r="X566" t="s">
        <v>500</v>
      </c>
      <c r="Y566">
        <v>1609</v>
      </c>
    </row>
    <row r="567" spans="22:25">
      <c r="V567" t="str">
        <f t="shared" si="8"/>
        <v xml:space="preserve">Miles (statute)  &lt;&lt;&lt;&gt;&gt;&gt; Miles (nautical) </v>
      </c>
      <c r="W567" t="s">
        <v>538</v>
      </c>
      <c r="X567" t="s">
        <v>537</v>
      </c>
      <c r="Y567">
        <v>0.86839999999999995</v>
      </c>
    </row>
    <row r="568" spans="22:25">
      <c r="V568" t="str">
        <f t="shared" si="8"/>
        <v xml:space="preserve">Miles (statute)  &lt;&lt;&lt;&gt;&gt;&gt; Yards </v>
      </c>
      <c r="W568" t="s">
        <v>538</v>
      </c>
      <c r="X568" t="s">
        <v>503</v>
      </c>
      <c r="Y568">
        <v>1760</v>
      </c>
    </row>
    <row r="569" spans="22:25">
      <c r="V569" t="str">
        <f t="shared" si="8"/>
        <v xml:space="preserve">Miles/Hour  &lt;&lt;&lt;&gt;&gt;&gt; Centimeters/Seconds </v>
      </c>
      <c r="W569" t="s">
        <v>276</v>
      </c>
      <c r="X569" t="s">
        <v>270</v>
      </c>
      <c r="Y569">
        <v>44.7</v>
      </c>
    </row>
    <row r="570" spans="22:25">
      <c r="V570" t="str">
        <f t="shared" si="8"/>
        <v xml:space="preserve">Miles/Hour  &lt;&lt;&lt;&gt;&gt;&gt; Feet/Minutes </v>
      </c>
      <c r="W570" t="s">
        <v>276</v>
      </c>
      <c r="X570" t="s">
        <v>271</v>
      </c>
      <c r="Y570">
        <v>88</v>
      </c>
    </row>
    <row r="571" spans="22:25">
      <c r="V571" t="str">
        <f t="shared" si="8"/>
        <v xml:space="preserve">Miles/Hour  &lt;&lt;&lt;&gt;&gt;&gt; Feet/Seconds </v>
      </c>
      <c r="W571" t="s">
        <v>276</v>
      </c>
      <c r="X571" t="s">
        <v>272</v>
      </c>
      <c r="Y571">
        <v>1.4670000000000001</v>
      </c>
    </row>
    <row r="572" spans="22:25">
      <c r="V572" t="str">
        <f t="shared" si="8"/>
        <v xml:space="preserve">Miles/Hour  &lt;&lt;&lt;&gt;&gt;&gt; Kilometers/Hour </v>
      </c>
      <c r="W572" t="s">
        <v>276</v>
      </c>
      <c r="X572" t="s">
        <v>273</v>
      </c>
      <c r="Y572">
        <v>1.6093440000000001</v>
      </c>
    </row>
    <row r="573" spans="22:25">
      <c r="V573" t="str">
        <f t="shared" si="8"/>
        <v xml:space="preserve">Miles/Hour  &lt;&lt;&lt;&gt;&gt;&gt; Kilometers/Minutes </v>
      </c>
      <c r="W573" t="s">
        <v>276</v>
      </c>
      <c r="X573" t="s">
        <v>544</v>
      </c>
      <c r="Y573">
        <v>2.682E-2</v>
      </c>
    </row>
    <row r="574" spans="22:25">
      <c r="V574" t="str">
        <f t="shared" si="8"/>
        <v xml:space="preserve">Miles/Hour  &lt;&lt;&lt;&gt;&gt;&gt; Knots </v>
      </c>
      <c r="W574" t="s">
        <v>276</v>
      </c>
      <c r="X574" t="s">
        <v>274</v>
      </c>
      <c r="Y574">
        <v>0.86839999999999995</v>
      </c>
    </row>
    <row r="575" spans="22:25">
      <c r="V575" t="str">
        <f t="shared" si="8"/>
        <v xml:space="preserve">Miles/Hour  &lt;&lt;&lt;&gt;&gt;&gt; Meters/Minutes </v>
      </c>
      <c r="W575" t="s">
        <v>276</v>
      </c>
      <c r="X575" t="s">
        <v>275</v>
      </c>
      <c r="Y575">
        <v>26.82</v>
      </c>
    </row>
    <row r="576" spans="22:25">
      <c r="V576" t="str">
        <f t="shared" si="8"/>
        <v xml:space="preserve">Miles/Hour  &lt;&lt;&lt;&gt;&gt;&gt; Miles/Minutes </v>
      </c>
      <c r="W576" t="s">
        <v>276</v>
      </c>
      <c r="X576" t="s">
        <v>277</v>
      </c>
      <c r="Y576">
        <v>0.16669999999999999</v>
      </c>
    </row>
    <row r="577" spans="22:25">
      <c r="V577" t="str">
        <f t="shared" si="8"/>
        <v xml:space="preserve">Miles/Hour/Seconds  &lt;&lt;&lt;&gt;&gt;&gt; Centimeters/Seconds/Seconds </v>
      </c>
      <c r="W577" t="s">
        <v>282</v>
      </c>
      <c r="X577" t="s">
        <v>278</v>
      </c>
      <c r="Y577">
        <v>44.7</v>
      </c>
    </row>
    <row r="578" spans="22:25">
      <c r="V578" t="str">
        <f t="shared" si="8"/>
        <v xml:space="preserve">Miles/Hour/Seconds  &lt;&lt;&lt;&gt;&gt;&gt; Feet/Seconds/Seconds </v>
      </c>
      <c r="W578" t="s">
        <v>282</v>
      </c>
      <c r="X578" t="s">
        <v>279</v>
      </c>
      <c r="Y578">
        <v>1.4670000000000001</v>
      </c>
    </row>
    <row r="579" spans="22:25">
      <c r="V579" t="str">
        <f t="shared" ref="V579:V642" si="9">IF(W579="","",W579&amp;" &lt;&lt;&lt;&gt;&gt;&gt; "&amp;X579)</f>
        <v xml:space="preserve">Miles/Hour/Seconds  &lt;&lt;&lt;&gt;&gt;&gt; Kilometers/Hour/Seconds </v>
      </c>
      <c r="W579" t="s">
        <v>282</v>
      </c>
      <c r="X579" t="s">
        <v>280</v>
      </c>
      <c r="Y579">
        <v>1.609</v>
      </c>
    </row>
    <row r="580" spans="22:25">
      <c r="V580" t="str">
        <f t="shared" si="9"/>
        <v xml:space="preserve">Miles/Hour/Seconds  &lt;&lt;&lt;&gt;&gt;&gt; meters/Seconds/Seconds </v>
      </c>
      <c r="W580" t="s">
        <v>282</v>
      </c>
      <c r="X580" t="s">
        <v>281</v>
      </c>
      <c r="Y580">
        <v>0.44700000000000001</v>
      </c>
    </row>
    <row r="581" spans="22:25">
      <c r="V581" t="str">
        <f t="shared" si="9"/>
        <v xml:space="preserve">Miles/Minutes  &lt;&lt;&lt;&gt;&gt;&gt; Centimeters/Seconds </v>
      </c>
      <c r="W581" t="s">
        <v>277</v>
      </c>
      <c r="X581" t="s">
        <v>270</v>
      </c>
      <c r="Y581">
        <v>2682</v>
      </c>
    </row>
    <row r="582" spans="22:25">
      <c r="V582" t="str">
        <f t="shared" si="9"/>
        <v xml:space="preserve">Miles/Minutes  &lt;&lt;&lt;&gt;&gt;&gt; Feet/Seconds </v>
      </c>
      <c r="W582" t="s">
        <v>277</v>
      </c>
      <c r="X582" t="s">
        <v>272</v>
      </c>
      <c r="Y582">
        <v>88</v>
      </c>
    </row>
    <row r="583" spans="22:25">
      <c r="V583" t="str">
        <f t="shared" si="9"/>
        <v xml:space="preserve">Miles/Minutes  &lt;&lt;&lt;&gt;&gt;&gt; Kilometers/Minutes </v>
      </c>
      <c r="W583" t="s">
        <v>277</v>
      </c>
      <c r="X583" t="s">
        <v>544</v>
      </c>
      <c r="Y583">
        <v>1.609</v>
      </c>
    </row>
    <row r="584" spans="22:25">
      <c r="V584" t="str">
        <f t="shared" si="9"/>
        <v xml:space="preserve">Miles/Minutes  &lt;&lt;&lt;&gt;&gt;&gt; Knots/Minutes </v>
      </c>
      <c r="W584" t="s">
        <v>277</v>
      </c>
      <c r="X584" t="s">
        <v>548</v>
      </c>
      <c r="Y584">
        <v>0.86839999999999995</v>
      </c>
    </row>
    <row r="585" spans="22:25">
      <c r="V585" t="str">
        <f t="shared" si="9"/>
        <v xml:space="preserve">Miles/Minutes  &lt;&lt;&lt;&gt;&gt;&gt; Miles/Hour </v>
      </c>
      <c r="W585" t="s">
        <v>277</v>
      </c>
      <c r="X585" t="s">
        <v>276</v>
      </c>
      <c r="Y585">
        <v>60</v>
      </c>
    </row>
    <row r="586" spans="22:25">
      <c r="V586" t="str">
        <f t="shared" si="9"/>
        <v xml:space="preserve">Milliers  &lt;&lt;&lt;&gt;&gt;&gt; Kilograms </v>
      </c>
      <c r="W586" t="s">
        <v>549</v>
      </c>
      <c r="X586" t="s">
        <v>364</v>
      </c>
      <c r="Y586">
        <v>1000</v>
      </c>
    </row>
    <row r="587" spans="22:25">
      <c r="V587" t="str">
        <f t="shared" si="9"/>
        <v xml:space="preserve">Milligrams  &lt;&lt;&lt;&gt;&gt;&gt; Grains </v>
      </c>
      <c r="W587" t="s">
        <v>421</v>
      </c>
      <c r="X587" t="s">
        <v>341</v>
      </c>
      <c r="Y587">
        <v>1.5432359999999999E-2</v>
      </c>
    </row>
    <row r="588" spans="22:25">
      <c r="V588" t="str">
        <f t="shared" si="9"/>
        <v xml:space="preserve">Milligrams  &lt;&lt;&lt;&gt;&gt;&gt; Grams </v>
      </c>
      <c r="W588" t="s">
        <v>421</v>
      </c>
      <c r="X588" t="s">
        <v>254</v>
      </c>
      <c r="Y588">
        <v>1E-3</v>
      </c>
    </row>
    <row r="589" spans="22:25">
      <c r="V589" t="str">
        <f t="shared" si="9"/>
        <v xml:space="preserve">Milliliters  &lt;&lt;&lt;&gt;&gt;&gt; Liters </v>
      </c>
      <c r="W589" t="s">
        <v>550</v>
      </c>
      <c r="X589" t="s">
        <v>239</v>
      </c>
      <c r="Y589">
        <v>1E-3</v>
      </c>
    </row>
    <row r="590" spans="22:25">
      <c r="V590" t="str">
        <f t="shared" si="9"/>
        <v xml:space="preserve">Millimeters  &lt;&lt;&lt;&gt;&gt;&gt; Centimeters </v>
      </c>
      <c r="W590" t="s">
        <v>502</v>
      </c>
      <c r="X590" t="s">
        <v>496</v>
      </c>
      <c r="Y590">
        <v>0.1</v>
      </c>
    </row>
    <row r="591" spans="22:25">
      <c r="V591" t="str">
        <f t="shared" si="9"/>
        <v xml:space="preserve">Millimeters  &lt;&lt;&lt;&gt;&gt;&gt; Feet </v>
      </c>
      <c r="W591" t="s">
        <v>502</v>
      </c>
      <c r="X591" t="s">
        <v>497</v>
      </c>
      <c r="Y591">
        <v>3.2799999999999999E-3</v>
      </c>
    </row>
    <row r="592" spans="22:25">
      <c r="V592" t="str">
        <f t="shared" si="9"/>
        <v xml:space="preserve">Millimeters  &lt;&lt;&lt;&gt;&gt;&gt; Inches </v>
      </c>
      <c r="W592" t="s">
        <v>502</v>
      </c>
      <c r="X592" t="s">
        <v>498</v>
      </c>
      <c r="Y592">
        <v>3.9370000000000002E-2</v>
      </c>
    </row>
    <row r="593" spans="22:25">
      <c r="V593" t="str">
        <f t="shared" si="9"/>
        <v xml:space="preserve">Millimeters  &lt;&lt;&lt;&gt;&gt;&gt; Kilometers </v>
      </c>
      <c r="W593" t="s">
        <v>502</v>
      </c>
      <c r="X593" t="s">
        <v>494</v>
      </c>
      <c r="Y593">
        <v>9.9999999999999995E-7</v>
      </c>
    </row>
    <row r="594" spans="22:25">
      <c r="V594" t="str">
        <f t="shared" si="9"/>
        <v xml:space="preserve">Millimeters  &lt;&lt;&lt;&gt;&gt;&gt; Meters </v>
      </c>
      <c r="W594" t="s">
        <v>502</v>
      </c>
      <c r="X594" t="s">
        <v>500</v>
      </c>
      <c r="Y594">
        <v>1E-3</v>
      </c>
    </row>
    <row r="595" spans="22:25">
      <c r="V595" t="str">
        <f t="shared" si="9"/>
        <v xml:space="preserve">Millimeters  &lt;&lt;&lt;&gt;&gt;&gt; Miles </v>
      </c>
      <c r="W595" t="s">
        <v>502</v>
      </c>
      <c r="X595" t="s">
        <v>516</v>
      </c>
      <c r="Y595">
        <v>6.2099999999999996E-7</v>
      </c>
    </row>
    <row r="596" spans="22:25">
      <c r="V596" t="str">
        <f t="shared" si="9"/>
        <v xml:space="preserve">Millimeters  &lt;&lt;&lt;&gt;&gt;&gt; Mils </v>
      </c>
      <c r="W596" t="s">
        <v>502</v>
      </c>
      <c r="X596" t="s">
        <v>551</v>
      </c>
      <c r="Y596">
        <v>39.369999999999997</v>
      </c>
    </row>
    <row r="597" spans="22:25">
      <c r="V597" t="str">
        <f t="shared" si="9"/>
        <v xml:space="preserve">Millimeters  &lt;&lt;&lt;&gt;&gt;&gt; Yards </v>
      </c>
      <c r="W597" t="s">
        <v>502</v>
      </c>
      <c r="X597" t="s">
        <v>503</v>
      </c>
      <c r="Y597">
        <v>1.09E-3</v>
      </c>
    </row>
    <row r="598" spans="22:25">
      <c r="V598" t="str">
        <f t="shared" si="9"/>
        <v>Millimeters/Minute &lt;&lt;&lt;&gt;&gt;&gt; Inches/Minute</v>
      </c>
      <c r="W598" t="s">
        <v>552</v>
      </c>
      <c r="X598" t="s">
        <v>542</v>
      </c>
      <c r="Y598">
        <v>3.9370080000000002E-2</v>
      </c>
    </row>
    <row r="599" spans="22:25">
      <c r="V599" t="str">
        <f t="shared" si="9"/>
        <v xml:space="preserve">Millimicrons  &lt;&lt;&lt;&gt;&gt;&gt; Meters </v>
      </c>
      <c r="W599" t="s">
        <v>553</v>
      </c>
      <c r="X599" t="s">
        <v>500</v>
      </c>
      <c r="Y599">
        <v>1.0000000000000001E-9</v>
      </c>
    </row>
    <row r="600" spans="22:25">
      <c r="V600" t="str">
        <f t="shared" si="9"/>
        <v xml:space="preserve">Mils  &lt;&lt;&lt;&gt;&gt;&gt; Centimeters </v>
      </c>
      <c r="W600" t="s">
        <v>551</v>
      </c>
      <c r="X600" t="s">
        <v>496</v>
      </c>
      <c r="Y600">
        <v>2.5400000000000002E-3</v>
      </c>
    </row>
    <row r="601" spans="22:25">
      <c r="V601" t="str">
        <f t="shared" si="9"/>
        <v xml:space="preserve">Mils  &lt;&lt;&lt;&gt;&gt;&gt; Feet </v>
      </c>
      <c r="W601" t="s">
        <v>551</v>
      </c>
      <c r="X601" t="s">
        <v>497</v>
      </c>
      <c r="Y601">
        <v>8.3300000000000005E-5</v>
      </c>
    </row>
    <row r="602" spans="22:25">
      <c r="V602" t="str">
        <f t="shared" si="9"/>
        <v xml:space="preserve">Mils  &lt;&lt;&lt;&gt;&gt;&gt; Inches </v>
      </c>
      <c r="W602" t="s">
        <v>551</v>
      </c>
      <c r="X602" t="s">
        <v>498</v>
      </c>
      <c r="Y602">
        <v>1E-3</v>
      </c>
    </row>
    <row r="603" spans="22:25">
      <c r="V603" t="str">
        <f t="shared" si="9"/>
        <v xml:space="preserve">Mils  &lt;&lt;&lt;&gt;&gt;&gt; Kilometers </v>
      </c>
      <c r="W603" t="s">
        <v>551</v>
      </c>
      <c r="X603" t="s">
        <v>494</v>
      </c>
      <c r="Y603">
        <v>2.5400000000000002E-3</v>
      </c>
    </row>
    <row r="604" spans="22:25">
      <c r="V604" t="str">
        <f t="shared" si="9"/>
        <v xml:space="preserve">Mils  &lt;&lt;&lt;&gt;&gt;&gt; Yards </v>
      </c>
      <c r="W604" t="s">
        <v>551</v>
      </c>
      <c r="X604" t="s">
        <v>503</v>
      </c>
      <c r="Y604">
        <v>2.7800000000000001E-5</v>
      </c>
    </row>
    <row r="605" spans="22:25">
      <c r="V605" t="str">
        <f t="shared" si="9"/>
        <v xml:space="preserve">Minutes  &lt;&lt;&lt;&gt;&gt;&gt; Seconds </v>
      </c>
      <c r="W605" t="s">
        <v>554</v>
      </c>
      <c r="X605" t="s">
        <v>555</v>
      </c>
      <c r="Y605">
        <v>60</v>
      </c>
    </row>
    <row r="606" spans="22:25">
      <c r="V606" t="str">
        <f t="shared" si="9"/>
        <v>Newtons (N) &lt;&lt;&lt;&gt;&gt;&gt; Dynes</v>
      </c>
      <c r="W606" t="s">
        <v>361</v>
      </c>
      <c r="X606" t="s">
        <v>358</v>
      </c>
      <c r="Y606">
        <v>100000</v>
      </c>
    </row>
    <row r="607" spans="22:25">
      <c r="V607" t="str">
        <f t="shared" si="9"/>
        <v>Newtons (N) &lt;&lt;&lt;&gt;&gt;&gt; Kilograms-force</v>
      </c>
      <c r="W607" t="s">
        <v>361</v>
      </c>
      <c r="X607" t="s">
        <v>556</v>
      </c>
      <c r="Y607">
        <v>0.1019716</v>
      </c>
    </row>
    <row r="608" spans="22:25">
      <c r="V608" t="str">
        <f t="shared" si="9"/>
        <v>Newtons (N) &lt;&lt;&lt;&gt;&gt;&gt; Kilopond</v>
      </c>
      <c r="W608" t="s">
        <v>361</v>
      </c>
      <c r="X608" t="s">
        <v>507</v>
      </c>
      <c r="Y608">
        <v>0.1019716</v>
      </c>
    </row>
    <row r="609" spans="22:25">
      <c r="V609" t="str">
        <f t="shared" si="9"/>
        <v>Newtons (N) &lt;&lt;&lt;&gt;&gt;&gt; Ounces-Force</v>
      </c>
      <c r="W609" t="s">
        <v>361</v>
      </c>
      <c r="X609" t="s">
        <v>557</v>
      </c>
      <c r="Y609">
        <v>3.5969419999999999</v>
      </c>
    </row>
    <row r="610" spans="22:25">
      <c r="V610" t="str">
        <f t="shared" si="9"/>
        <v>Newtons (N) &lt;&lt;&lt;&gt;&gt;&gt; Poundal</v>
      </c>
      <c r="W610" t="s">
        <v>361</v>
      </c>
      <c r="X610" t="s">
        <v>558</v>
      </c>
      <c r="Y610">
        <v>7.2330100000000002</v>
      </c>
    </row>
    <row r="611" spans="22:25">
      <c r="V611" t="str">
        <f t="shared" si="9"/>
        <v>Newtons (N) &lt;&lt;&lt;&gt;&gt;&gt; Pounds-Force</v>
      </c>
      <c r="W611" t="s">
        <v>361</v>
      </c>
      <c r="X611" t="s">
        <v>559</v>
      </c>
      <c r="Y611">
        <v>0.22480890000000001</v>
      </c>
    </row>
    <row r="612" spans="22:25">
      <c r="V612" t="str">
        <f t="shared" si="9"/>
        <v>Newtons per Meter &lt;&lt;&lt;&gt;&gt;&gt; Pounds per Foot</v>
      </c>
      <c r="W612" t="s">
        <v>560</v>
      </c>
      <c r="X612" t="s">
        <v>561</v>
      </c>
      <c r="Y612">
        <v>6.8521780000000004E-2</v>
      </c>
    </row>
    <row r="613" spans="22:25">
      <c r="V613" t="str">
        <f t="shared" si="9"/>
        <v>Newtons per Meter &lt;&lt;&lt;&gt;&gt;&gt; Pounds per Inch</v>
      </c>
      <c r="W613" t="s">
        <v>560</v>
      </c>
      <c r="X613" t="s">
        <v>562</v>
      </c>
      <c r="Y613">
        <v>5.710148E-3</v>
      </c>
    </row>
    <row r="614" spans="22:25">
      <c r="V614" t="str">
        <f t="shared" si="9"/>
        <v xml:space="preserve">Ohm (international)  &lt;&lt;&lt;&gt;&gt;&gt; Ohm (absolute) </v>
      </c>
      <c r="W614" t="s">
        <v>563</v>
      </c>
      <c r="X614" t="s">
        <v>564</v>
      </c>
      <c r="Y614">
        <v>1.0004999999999999</v>
      </c>
    </row>
    <row r="615" spans="22:25">
      <c r="V615" t="str">
        <f t="shared" si="9"/>
        <v xml:space="preserve">Ohms  &lt;&lt;&lt;&gt;&gt;&gt; Megohms </v>
      </c>
      <c r="W615" t="s">
        <v>535</v>
      </c>
      <c r="X615" t="s">
        <v>533</v>
      </c>
      <c r="Y615">
        <v>9.9999999999999995E-7</v>
      </c>
    </row>
    <row r="616" spans="22:25">
      <c r="V616" t="str">
        <f t="shared" si="9"/>
        <v xml:space="preserve">Ohms  &lt;&lt;&lt;&gt;&gt;&gt; Microhms </v>
      </c>
      <c r="W616" t="s">
        <v>535</v>
      </c>
      <c r="X616" t="s">
        <v>534</v>
      </c>
      <c r="Y616">
        <v>1000000</v>
      </c>
    </row>
    <row r="617" spans="22:25">
      <c r="V617" t="str">
        <f t="shared" si="9"/>
        <v xml:space="preserve">Ounces  &lt;&lt;&lt;&gt;&gt;&gt; Drams </v>
      </c>
      <c r="W617" t="s">
        <v>342</v>
      </c>
      <c r="X617" t="s">
        <v>340</v>
      </c>
      <c r="Y617">
        <v>16</v>
      </c>
    </row>
    <row r="618" spans="22:25">
      <c r="V618" t="str">
        <f t="shared" si="9"/>
        <v xml:space="preserve">Ounces  &lt;&lt;&lt;&gt;&gt;&gt; Grains </v>
      </c>
      <c r="W618" t="s">
        <v>342</v>
      </c>
      <c r="X618" t="s">
        <v>341</v>
      </c>
      <c r="Y618">
        <v>437.5</v>
      </c>
    </row>
    <row r="619" spans="22:25">
      <c r="V619" t="str">
        <f t="shared" si="9"/>
        <v xml:space="preserve">Ounces  &lt;&lt;&lt;&gt;&gt;&gt; Grams </v>
      </c>
      <c r="W619" t="s">
        <v>342</v>
      </c>
      <c r="X619" t="s">
        <v>254</v>
      </c>
      <c r="Y619">
        <v>28.349523000000001</v>
      </c>
    </row>
    <row r="620" spans="22:25">
      <c r="V620" t="str">
        <f t="shared" si="9"/>
        <v xml:space="preserve">Ounces  &lt;&lt;&lt;&gt;&gt;&gt; Ounces (troy) </v>
      </c>
      <c r="W620" t="s">
        <v>342</v>
      </c>
      <c r="X620" t="s">
        <v>344</v>
      </c>
      <c r="Y620">
        <v>0.91149999999999998</v>
      </c>
    </row>
    <row r="621" spans="22:25">
      <c r="V621" t="str">
        <f t="shared" si="9"/>
        <v xml:space="preserve">Ounces  &lt;&lt;&lt;&gt;&gt;&gt; Pounds </v>
      </c>
      <c r="W621" t="s">
        <v>342</v>
      </c>
      <c r="X621" t="s">
        <v>366</v>
      </c>
      <c r="Y621">
        <v>6.25E-2</v>
      </c>
    </row>
    <row r="622" spans="22:25">
      <c r="V622" t="str">
        <f t="shared" si="9"/>
        <v xml:space="preserve">Ounces  &lt;&lt;&lt;&gt;&gt;&gt; Tons (long) </v>
      </c>
      <c r="W622" t="s">
        <v>342</v>
      </c>
      <c r="X622" t="s">
        <v>450</v>
      </c>
      <c r="Y622">
        <v>2.7900000000000001E-5</v>
      </c>
    </row>
    <row r="623" spans="22:25">
      <c r="V623" t="str">
        <f t="shared" si="9"/>
        <v xml:space="preserve">Ounces  &lt;&lt;&lt;&gt;&gt;&gt; Tons (metric) </v>
      </c>
      <c r="W623" t="s">
        <v>342</v>
      </c>
      <c r="X623" t="s">
        <v>452</v>
      </c>
      <c r="Y623">
        <v>2.8399999999999999E-5</v>
      </c>
    </row>
    <row r="624" spans="22:25">
      <c r="V624" t="str">
        <f t="shared" si="9"/>
        <v>Ounces (avoirdupois) &lt;&lt;&lt;&gt;&gt;&gt; Grams (g)</v>
      </c>
      <c r="W624" t="s">
        <v>415</v>
      </c>
      <c r="X624" t="s">
        <v>465</v>
      </c>
      <c r="Y624">
        <v>28.349519999999998</v>
      </c>
    </row>
    <row r="625" spans="22:25">
      <c r="V625" t="str">
        <f t="shared" si="9"/>
        <v>Ounces (avoirdupois) &lt;&lt;&lt;&gt;&gt;&gt; Kilograms (kg)</v>
      </c>
      <c r="W625" t="s">
        <v>415</v>
      </c>
      <c r="X625" t="s">
        <v>414</v>
      </c>
      <c r="Y625">
        <v>2.834952E-2</v>
      </c>
    </row>
    <row r="626" spans="22:25">
      <c r="V626" t="str">
        <f t="shared" si="9"/>
        <v>Ounces (troy) &lt;&lt;&lt;&gt;&gt;&gt; Grams (g)</v>
      </c>
      <c r="W626" t="s">
        <v>416</v>
      </c>
      <c r="X626" t="s">
        <v>465</v>
      </c>
      <c r="Y626">
        <v>31.103480000000001</v>
      </c>
    </row>
    <row r="627" spans="22:25">
      <c r="V627" t="str">
        <f t="shared" si="9"/>
        <v>Ounces (troy) &lt;&lt;&lt;&gt;&gt;&gt; Kilograms (kg)</v>
      </c>
      <c r="W627" t="s">
        <v>416</v>
      </c>
      <c r="X627" t="s">
        <v>414</v>
      </c>
      <c r="Y627">
        <v>3.1103479999999999E-2</v>
      </c>
    </row>
    <row r="628" spans="22:25">
      <c r="V628" t="str">
        <f t="shared" si="9"/>
        <v xml:space="preserve">Ounces (troy)  &lt;&lt;&lt;&gt;&gt;&gt; Grains </v>
      </c>
      <c r="W628" t="s">
        <v>344</v>
      </c>
      <c r="X628" t="s">
        <v>341</v>
      </c>
      <c r="Y628">
        <v>480</v>
      </c>
    </row>
    <row r="629" spans="22:25">
      <c r="V629" t="str">
        <f t="shared" si="9"/>
        <v xml:space="preserve">Ounces (troy)  &lt;&lt;&lt;&gt;&gt;&gt; Grams </v>
      </c>
      <c r="W629" t="s">
        <v>344</v>
      </c>
      <c r="X629" t="s">
        <v>254</v>
      </c>
      <c r="Y629">
        <v>31.103480999999999</v>
      </c>
    </row>
    <row r="630" spans="22:25">
      <c r="V630" t="str">
        <f t="shared" si="9"/>
        <v xml:space="preserve">Ounces (troy)  &lt;&lt;&lt;&gt;&gt;&gt; Ounces (avoirdupois) </v>
      </c>
      <c r="W630" t="s">
        <v>344</v>
      </c>
      <c r="X630" t="s">
        <v>411</v>
      </c>
      <c r="Y630">
        <v>1.09714</v>
      </c>
    </row>
    <row r="631" spans="22:25">
      <c r="V631" t="str">
        <f t="shared" si="9"/>
        <v xml:space="preserve">Ounces (troy)  &lt;&lt;&lt;&gt;&gt;&gt; Pennyweights (troy) </v>
      </c>
      <c r="W631" t="s">
        <v>344</v>
      </c>
      <c r="X631" t="s">
        <v>565</v>
      </c>
      <c r="Y631">
        <v>20</v>
      </c>
    </row>
    <row r="632" spans="22:25">
      <c r="V632" t="str">
        <f t="shared" si="9"/>
        <v xml:space="preserve">Ounces (troy)  &lt;&lt;&lt;&gt;&gt;&gt; Pounds (troy) </v>
      </c>
      <c r="W632" t="s">
        <v>344</v>
      </c>
      <c r="X632" t="s">
        <v>566</v>
      </c>
      <c r="Y632">
        <v>8.3330000000000001E-2</v>
      </c>
    </row>
    <row r="633" spans="22:25">
      <c r="V633" t="str">
        <f t="shared" si="9"/>
        <v xml:space="preserve">Ounces/sq Inch  &lt;&lt;&lt;&gt;&gt;&gt; Pounds/sq Inch </v>
      </c>
      <c r="W633" t="s">
        <v>567</v>
      </c>
      <c r="X633" t="s">
        <v>485</v>
      </c>
      <c r="Y633">
        <v>6.25E-2</v>
      </c>
    </row>
    <row r="634" spans="22:25">
      <c r="V634" t="str">
        <f t="shared" si="9"/>
        <v>Ounces-Force &lt;&lt;&lt;&gt;&gt;&gt; Newtons (N)</v>
      </c>
      <c r="W634" t="s">
        <v>557</v>
      </c>
      <c r="X634" t="s">
        <v>361</v>
      </c>
      <c r="Y634">
        <v>0.27801389999999998</v>
      </c>
    </row>
    <row r="635" spans="22:25">
      <c r="V635" t="str">
        <f t="shared" si="9"/>
        <v xml:space="preserve">Parsec  &lt;&lt;&lt;&gt;&gt;&gt; Kilometers </v>
      </c>
      <c r="W635" t="s">
        <v>568</v>
      </c>
      <c r="X635" t="s">
        <v>494</v>
      </c>
      <c r="Y635">
        <v>30800000000000</v>
      </c>
    </row>
    <row r="636" spans="22:25">
      <c r="V636" t="str">
        <f t="shared" si="9"/>
        <v xml:space="preserve">Parsec  &lt;&lt;&lt;&gt;&gt;&gt; Miles </v>
      </c>
      <c r="W636" t="s">
        <v>568</v>
      </c>
      <c r="X636" t="s">
        <v>516</v>
      </c>
      <c r="Y636">
        <v>19000000000000</v>
      </c>
    </row>
    <row r="637" spans="22:25">
      <c r="V637" t="str">
        <f t="shared" si="9"/>
        <v xml:space="preserve">Pecks (British)  &lt;&lt;&lt;&gt;&gt;&gt; Cubic Inches </v>
      </c>
      <c r="W637" t="s">
        <v>569</v>
      </c>
      <c r="X637" t="s">
        <v>237</v>
      </c>
      <c r="Y637">
        <v>554.6</v>
      </c>
    </row>
    <row r="638" spans="22:25">
      <c r="V638" t="str">
        <f t="shared" si="9"/>
        <v xml:space="preserve">Pecks (British)  &lt;&lt;&lt;&gt;&gt;&gt; Liters </v>
      </c>
      <c r="W638" t="s">
        <v>569</v>
      </c>
      <c r="X638" t="s">
        <v>239</v>
      </c>
      <c r="Y638">
        <v>9.091901</v>
      </c>
    </row>
    <row r="639" spans="22:25">
      <c r="V639" t="str">
        <f t="shared" si="9"/>
        <v xml:space="preserve">Pecks (US)  &lt;&lt;&lt;&gt;&gt;&gt; Cubic Inches </v>
      </c>
      <c r="W639" t="s">
        <v>570</v>
      </c>
      <c r="X639" t="s">
        <v>237</v>
      </c>
      <c r="Y639">
        <v>537.60500000000002</v>
      </c>
    </row>
    <row r="640" spans="22:25">
      <c r="V640" t="str">
        <f t="shared" si="9"/>
        <v xml:space="preserve">Pecks (US)  &lt;&lt;&lt;&gt;&gt;&gt; Liters </v>
      </c>
      <c r="W640" t="s">
        <v>570</v>
      </c>
      <c r="X640" t="s">
        <v>239</v>
      </c>
      <c r="Y640">
        <v>8.8095820000000007</v>
      </c>
    </row>
    <row r="641" spans="22:25">
      <c r="V641" t="str">
        <f t="shared" si="9"/>
        <v xml:space="preserve">Pennyweights (troy)  &lt;&lt;&lt;&gt;&gt;&gt; Grains </v>
      </c>
      <c r="W641" t="s">
        <v>565</v>
      </c>
      <c r="X641" t="s">
        <v>341</v>
      </c>
      <c r="Y641">
        <v>24</v>
      </c>
    </row>
    <row r="642" spans="22:25">
      <c r="V642" t="str">
        <f t="shared" si="9"/>
        <v xml:space="preserve">Pennyweights (troy)  &lt;&lt;&lt;&gt;&gt;&gt; Grams </v>
      </c>
      <c r="W642" t="s">
        <v>565</v>
      </c>
      <c r="X642" t="s">
        <v>254</v>
      </c>
      <c r="Y642">
        <v>1.5551699999999999</v>
      </c>
    </row>
    <row r="643" spans="22:25">
      <c r="V643" t="str">
        <f t="shared" ref="V643:V706" si="10">IF(W643="","",W643&amp;" &lt;&lt;&lt;&gt;&gt;&gt; "&amp;X643)</f>
        <v xml:space="preserve">Pennyweights (troy)  &lt;&lt;&lt;&gt;&gt;&gt; Ounces (troy) </v>
      </c>
      <c r="W643" t="s">
        <v>565</v>
      </c>
      <c r="X643" t="s">
        <v>344</v>
      </c>
      <c r="Y643">
        <v>0.05</v>
      </c>
    </row>
    <row r="644" spans="22:25">
      <c r="V644" t="str">
        <f t="shared" si="10"/>
        <v xml:space="preserve">Pennyweights (troy)  &lt;&lt;&lt;&gt;&gt;&gt; Pounds (troy) </v>
      </c>
      <c r="W644" t="s">
        <v>565</v>
      </c>
      <c r="X644" t="s">
        <v>566</v>
      </c>
      <c r="Y644">
        <v>4.1700000000000001E-3</v>
      </c>
    </row>
    <row r="645" spans="22:25">
      <c r="V645" t="str">
        <f t="shared" si="10"/>
        <v xml:space="preserve">Pints (Brit.)  &lt;&lt;&lt;&gt;&gt;&gt; Cubic centimeters </v>
      </c>
      <c r="W645" t="s">
        <v>571</v>
      </c>
      <c r="X645" t="s">
        <v>572</v>
      </c>
      <c r="Y645">
        <v>568.26125000000002</v>
      </c>
    </row>
    <row r="646" spans="22:25">
      <c r="V646" t="str">
        <f t="shared" si="10"/>
        <v xml:space="preserve">Pints (Brit.)  &lt;&lt;&lt;&gt;&gt;&gt; Cubic Inches </v>
      </c>
      <c r="W646" t="s">
        <v>571</v>
      </c>
      <c r="X646" t="s">
        <v>237</v>
      </c>
      <c r="Y646">
        <v>34.677430000000001</v>
      </c>
    </row>
    <row r="647" spans="22:25">
      <c r="V647" t="str">
        <f t="shared" si="10"/>
        <v xml:space="preserve">Pints (Brit.)  &lt;&lt;&lt;&gt;&gt;&gt; Gallons (Brit.) </v>
      </c>
      <c r="W647" t="s">
        <v>571</v>
      </c>
      <c r="X647" t="s">
        <v>573</v>
      </c>
      <c r="Y647">
        <v>0.125</v>
      </c>
    </row>
    <row r="648" spans="22:25">
      <c r="V648" t="str">
        <f t="shared" si="10"/>
        <v xml:space="preserve">Pints (Brit.)  &lt;&lt;&lt;&gt;&gt;&gt; Gills (Brit.) </v>
      </c>
      <c r="W648" t="s">
        <v>571</v>
      </c>
      <c r="X648" t="s">
        <v>574</v>
      </c>
      <c r="Y648">
        <v>4</v>
      </c>
    </row>
    <row r="649" spans="22:25">
      <c r="V649" t="str">
        <f t="shared" si="10"/>
        <v xml:space="preserve">Pints (Brit.)  &lt;&lt;&lt;&gt;&gt;&gt; Liters </v>
      </c>
      <c r="W649" t="s">
        <v>571</v>
      </c>
      <c r="X649" t="s">
        <v>239</v>
      </c>
      <c r="Y649">
        <v>0.56826125000000005</v>
      </c>
    </row>
    <row r="650" spans="22:25">
      <c r="V650" t="str">
        <f t="shared" si="10"/>
        <v xml:space="preserve">Pints (Brit.)  &lt;&lt;&lt;&gt;&gt;&gt; Milliliters </v>
      </c>
      <c r="W650" t="s">
        <v>571</v>
      </c>
      <c r="X650" t="s">
        <v>550</v>
      </c>
      <c r="Y650">
        <v>568.26125000000002</v>
      </c>
    </row>
    <row r="651" spans="22:25">
      <c r="V651" t="str">
        <f t="shared" si="10"/>
        <v xml:space="preserve">Pints (Brit.)  &lt;&lt;&lt;&gt;&gt;&gt; Ounces (Brit. fluid) </v>
      </c>
      <c r="W651" t="s">
        <v>571</v>
      </c>
      <c r="X651" t="s">
        <v>575</v>
      </c>
      <c r="Y651">
        <v>20</v>
      </c>
    </row>
    <row r="652" spans="22:25">
      <c r="V652" t="str">
        <f t="shared" si="10"/>
        <v xml:space="preserve">Pints (Brit.)  &lt;&lt;&lt;&gt;&gt;&gt; Pints (US dry) </v>
      </c>
      <c r="W652" t="s">
        <v>571</v>
      </c>
      <c r="X652" t="s">
        <v>576</v>
      </c>
      <c r="Y652">
        <v>1.032057</v>
      </c>
    </row>
    <row r="653" spans="22:25">
      <c r="V653" t="str">
        <f t="shared" si="10"/>
        <v xml:space="preserve">Pints (Brit.)  &lt;&lt;&lt;&gt;&gt;&gt; Pints (US liquid) </v>
      </c>
      <c r="W653" t="s">
        <v>571</v>
      </c>
      <c r="X653" t="s">
        <v>577</v>
      </c>
      <c r="Y653">
        <v>1.20095</v>
      </c>
    </row>
    <row r="654" spans="22:25">
      <c r="V654" t="str">
        <f t="shared" si="10"/>
        <v xml:space="preserve">Pints (US dry)  &lt;&lt;&lt;&gt;&gt;&gt; Quarts (US dry) </v>
      </c>
      <c r="W654" t="s">
        <v>576</v>
      </c>
      <c r="X654" t="s">
        <v>578</v>
      </c>
      <c r="Y654">
        <v>0.5</v>
      </c>
    </row>
    <row r="655" spans="22:25">
      <c r="V655" t="str">
        <f t="shared" si="10"/>
        <v xml:space="preserve">Pints (US liquid)  &lt;&lt;&lt;&gt;&gt;&gt; Cubic cm </v>
      </c>
      <c r="W655" t="s">
        <v>577</v>
      </c>
      <c r="X655" t="s">
        <v>407</v>
      </c>
      <c r="Y655">
        <v>473.17649999999998</v>
      </c>
    </row>
    <row r="656" spans="22:25">
      <c r="V656" t="str">
        <f t="shared" si="10"/>
        <v xml:space="preserve">Pints (US liquid)  &lt;&lt;&lt;&gt;&gt;&gt; Cubic Feet </v>
      </c>
      <c r="W656" t="s">
        <v>577</v>
      </c>
      <c r="X656" t="s">
        <v>1093</v>
      </c>
      <c r="Y656">
        <v>1.6709999999999999E-2</v>
      </c>
    </row>
    <row r="657" spans="22:25">
      <c r="V657" t="str">
        <f t="shared" si="10"/>
        <v xml:space="preserve">Pints (US liquid)  &lt;&lt;&lt;&gt;&gt;&gt; Cubic Inches </v>
      </c>
      <c r="W657" t="s">
        <v>577</v>
      </c>
      <c r="X657" t="s">
        <v>237</v>
      </c>
      <c r="Y657">
        <v>28.875</v>
      </c>
    </row>
    <row r="658" spans="22:25">
      <c r="V658" t="str">
        <f t="shared" si="10"/>
        <v xml:space="preserve">Pints (US liquid)  &lt;&lt;&lt;&gt;&gt;&gt; Cubic Meters </v>
      </c>
      <c r="W658" t="s">
        <v>577</v>
      </c>
      <c r="X658" t="s">
        <v>238</v>
      </c>
      <c r="Y658">
        <v>4.73E-4</v>
      </c>
    </row>
    <row r="659" spans="22:25">
      <c r="V659" t="str">
        <f t="shared" si="10"/>
        <v xml:space="preserve">Pints (US liquid)  &lt;&lt;&lt;&gt;&gt;&gt; Cubic Yards </v>
      </c>
      <c r="W659" t="s">
        <v>577</v>
      </c>
      <c r="X659" t="s">
        <v>306</v>
      </c>
      <c r="Y659">
        <v>6.1899999999999998E-4</v>
      </c>
    </row>
    <row r="660" spans="22:25">
      <c r="V660" t="str">
        <f t="shared" si="10"/>
        <v xml:space="preserve">Pints (US liquid)  &lt;&lt;&lt;&gt;&gt;&gt; Gallons (US) </v>
      </c>
      <c r="W660" t="s">
        <v>577</v>
      </c>
      <c r="X660" t="s">
        <v>397</v>
      </c>
      <c r="Y660">
        <v>0.125</v>
      </c>
    </row>
    <row r="661" spans="22:25">
      <c r="V661" t="str">
        <f t="shared" si="10"/>
        <v xml:space="preserve">Pints (US liquid)  &lt;&lt;&lt;&gt;&gt;&gt; Gills (US) </v>
      </c>
      <c r="W661" t="s">
        <v>577</v>
      </c>
      <c r="X661" t="s">
        <v>579</v>
      </c>
      <c r="Y661">
        <v>4</v>
      </c>
    </row>
    <row r="662" spans="22:25">
      <c r="V662" t="str">
        <f t="shared" si="10"/>
        <v xml:space="preserve">Pints (US liquid)  &lt;&lt;&lt;&gt;&gt;&gt; Liters </v>
      </c>
      <c r="W662" t="s">
        <v>577</v>
      </c>
      <c r="X662" t="s">
        <v>239</v>
      </c>
      <c r="Y662">
        <v>0.4731765</v>
      </c>
    </row>
    <row r="663" spans="22:25">
      <c r="V663" t="str">
        <f t="shared" si="10"/>
        <v xml:space="preserve">Pints (US liquid)  &lt;&lt;&lt;&gt;&gt;&gt; Milliliters </v>
      </c>
      <c r="W663" t="s">
        <v>577</v>
      </c>
      <c r="X663" t="s">
        <v>550</v>
      </c>
      <c r="Y663">
        <v>473.17649999999998</v>
      </c>
    </row>
    <row r="664" spans="22:25">
      <c r="V664" t="str">
        <f t="shared" si="10"/>
        <v xml:space="preserve">Pints (US liquid)  &lt;&lt;&lt;&gt;&gt;&gt; Ounce (US fluid) </v>
      </c>
      <c r="W664" t="s">
        <v>577</v>
      </c>
      <c r="X664" t="s">
        <v>580</v>
      </c>
      <c r="Y664">
        <v>16</v>
      </c>
    </row>
    <row r="665" spans="22:25">
      <c r="V665" t="str">
        <f t="shared" si="10"/>
        <v xml:space="preserve">Pints (US liquid)  &lt;&lt;&lt;&gt;&gt;&gt; Pints (Brit. liquid) </v>
      </c>
      <c r="W665" t="s">
        <v>577</v>
      </c>
      <c r="X665" t="s">
        <v>581</v>
      </c>
      <c r="Y665">
        <v>0.83267420000000003</v>
      </c>
    </row>
    <row r="666" spans="22:25">
      <c r="V666" t="str">
        <f t="shared" si="10"/>
        <v xml:space="preserve">Pints (US liquid)  &lt;&lt;&lt;&gt;&gt;&gt; Quarts (liquid) </v>
      </c>
      <c r="W666" t="s">
        <v>577</v>
      </c>
      <c r="X666" t="s">
        <v>582</v>
      </c>
      <c r="Y666">
        <v>0.5</v>
      </c>
    </row>
    <row r="667" spans="22:25">
      <c r="V667" t="str">
        <f t="shared" si="10"/>
        <v>Poundal &lt;&lt;&lt;&gt;&gt;&gt; Newtons (N)</v>
      </c>
      <c r="W667" t="s">
        <v>558</v>
      </c>
      <c r="X667" t="s">
        <v>361</v>
      </c>
      <c r="Y667">
        <v>0.13825499999999999</v>
      </c>
    </row>
    <row r="668" spans="22:25">
      <c r="V668" t="str">
        <f t="shared" si="10"/>
        <v>Poundals &lt;&lt;&lt;&gt;&gt;&gt; Dynes</v>
      </c>
      <c r="W668" t="s">
        <v>362</v>
      </c>
      <c r="X668" t="s">
        <v>358</v>
      </c>
      <c r="Y668">
        <v>13826</v>
      </c>
    </row>
    <row r="669" spans="22:25">
      <c r="V669" t="str">
        <f t="shared" si="10"/>
        <v xml:space="preserve">Poundals  &lt;&lt;&lt;&gt;&gt;&gt; Grams </v>
      </c>
      <c r="W669" t="s">
        <v>365</v>
      </c>
      <c r="X669" t="s">
        <v>254</v>
      </c>
      <c r="Y669">
        <v>14.1</v>
      </c>
    </row>
    <row r="670" spans="22:25">
      <c r="V670" t="str">
        <f t="shared" si="10"/>
        <v xml:space="preserve">Poundals  &lt;&lt;&lt;&gt;&gt;&gt; Kilograms </v>
      </c>
      <c r="W670" t="s">
        <v>365</v>
      </c>
      <c r="X670" t="s">
        <v>364</v>
      </c>
      <c r="Y670">
        <v>1.41E-2</v>
      </c>
    </row>
    <row r="671" spans="22:25">
      <c r="V671" t="str">
        <f t="shared" si="10"/>
        <v xml:space="preserve">Poundals  &lt;&lt;&lt;&gt;&gt;&gt; Pounds </v>
      </c>
      <c r="W671" t="s">
        <v>365</v>
      </c>
      <c r="X671" t="s">
        <v>366</v>
      </c>
      <c r="Y671">
        <v>3.108E-2</v>
      </c>
    </row>
    <row r="672" spans="22:25">
      <c r="V672" t="str">
        <f t="shared" si="10"/>
        <v>Pound-Feet &lt;&lt;&lt;&gt;&gt;&gt; Centimeter-Dynes</v>
      </c>
      <c r="W672" t="s">
        <v>260</v>
      </c>
      <c r="X672" t="s">
        <v>258</v>
      </c>
      <c r="Y672">
        <v>13600000</v>
      </c>
    </row>
    <row r="673" spans="22:25">
      <c r="V673" t="str">
        <f t="shared" si="10"/>
        <v>Pound-Feet &lt;&lt;&lt;&gt;&gt;&gt; Centimeter-Grams</v>
      </c>
      <c r="W673" t="s">
        <v>260</v>
      </c>
      <c r="X673" t="s">
        <v>284</v>
      </c>
      <c r="Y673">
        <v>13825</v>
      </c>
    </row>
    <row r="674" spans="22:25">
      <c r="V674" t="str">
        <f t="shared" si="10"/>
        <v>Pound-Feet &lt;&lt;&lt;&gt;&gt;&gt; Meter-kgs</v>
      </c>
      <c r="W674" t="s">
        <v>260</v>
      </c>
      <c r="X674" t="s">
        <v>259</v>
      </c>
      <c r="Y674">
        <v>0.13830000000000001</v>
      </c>
    </row>
    <row r="675" spans="22:25">
      <c r="V675" t="str">
        <f t="shared" si="10"/>
        <v>Pounds &lt;&lt;&lt;&gt;&gt;&gt; Dynes</v>
      </c>
      <c r="W675" t="s">
        <v>80</v>
      </c>
      <c r="X675" t="s">
        <v>358</v>
      </c>
      <c r="Y675">
        <v>445000</v>
      </c>
    </row>
    <row r="676" spans="22:25">
      <c r="V676" t="str">
        <f t="shared" si="10"/>
        <v xml:space="preserve">Pounds  &lt;&lt;&lt;&gt;&gt;&gt; Drams </v>
      </c>
      <c r="W676" t="s">
        <v>366</v>
      </c>
      <c r="X676" t="s">
        <v>340</v>
      </c>
      <c r="Y676">
        <v>256</v>
      </c>
    </row>
    <row r="677" spans="22:25">
      <c r="V677" t="str">
        <f t="shared" si="10"/>
        <v xml:space="preserve">Pounds  &lt;&lt;&lt;&gt;&gt;&gt; Dynes </v>
      </c>
      <c r="W677" t="s">
        <v>366</v>
      </c>
      <c r="X677" t="s">
        <v>363</v>
      </c>
      <c r="Y677">
        <v>445000</v>
      </c>
    </row>
    <row r="678" spans="22:25">
      <c r="V678" t="str">
        <f t="shared" si="10"/>
        <v xml:space="preserve">Pounds  &lt;&lt;&lt;&gt;&gt;&gt; Grains </v>
      </c>
      <c r="W678" t="s">
        <v>366</v>
      </c>
      <c r="X678" t="s">
        <v>341</v>
      </c>
      <c r="Y678">
        <v>7000</v>
      </c>
    </row>
    <row r="679" spans="22:25">
      <c r="V679" t="str">
        <f t="shared" si="10"/>
        <v xml:space="preserve">Pounds  &lt;&lt;&lt;&gt;&gt;&gt; Grams </v>
      </c>
      <c r="W679" t="s">
        <v>366</v>
      </c>
      <c r="X679" t="s">
        <v>254</v>
      </c>
      <c r="Y679">
        <v>453.5924</v>
      </c>
    </row>
    <row r="680" spans="22:25">
      <c r="V680" t="str">
        <f t="shared" si="10"/>
        <v xml:space="preserve">Pounds  &lt;&lt;&lt;&gt;&gt;&gt; joules/cm </v>
      </c>
      <c r="W680" t="s">
        <v>366</v>
      </c>
      <c r="X680" t="s">
        <v>472</v>
      </c>
      <c r="Y680">
        <v>4.4479999999999999E-2</v>
      </c>
    </row>
    <row r="681" spans="22:25">
      <c r="V681" t="str">
        <f t="shared" si="10"/>
        <v xml:space="preserve">Pounds  &lt;&lt;&lt;&gt;&gt;&gt; joules/meter (newtons) </v>
      </c>
      <c r="W681" t="s">
        <v>366</v>
      </c>
      <c r="X681" t="s">
        <v>473</v>
      </c>
      <c r="Y681">
        <v>4.4480000000000004</v>
      </c>
    </row>
    <row r="682" spans="22:25">
      <c r="V682" t="str">
        <f t="shared" si="10"/>
        <v xml:space="preserve">Pounds  &lt;&lt;&lt;&gt;&gt;&gt; Kilograms </v>
      </c>
      <c r="W682" t="s">
        <v>366</v>
      </c>
      <c r="X682" t="s">
        <v>364</v>
      </c>
      <c r="Y682">
        <v>0.4536</v>
      </c>
    </row>
    <row r="683" spans="22:25">
      <c r="V683" t="str">
        <f t="shared" si="10"/>
        <v xml:space="preserve">Pounds  &lt;&lt;&lt;&gt;&gt;&gt; Ounces </v>
      </c>
      <c r="W683" t="s">
        <v>366</v>
      </c>
      <c r="X683" t="s">
        <v>342</v>
      </c>
      <c r="Y683">
        <v>16</v>
      </c>
    </row>
    <row r="684" spans="22:25">
      <c r="V684" t="str">
        <f t="shared" si="10"/>
        <v xml:space="preserve">Pounds  &lt;&lt;&lt;&gt;&gt;&gt; Ounces (troy) </v>
      </c>
      <c r="W684" t="s">
        <v>366</v>
      </c>
      <c r="X684" t="s">
        <v>344</v>
      </c>
      <c r="Y684">
        <v>14.583299999999999</v>
      </c>
    </row>
    <row r="685" spans="22:25">
      <c r="V685" t="str">
        <f t="shared" si="10"/>
        <v xml:space="preserve">Pounds  &lt;&lt;&lt;&gt;&gt;&gt; Poundals </v>
      </c>
      <c r="W685" t="s">
        <v>366</v>
      </c>
      <c r="X685" t="s">
        <v>365</v>
      </c>
      <c r="Y685">
        <v>32.17</v>
      </c>
    </row>
    <row r="686" spans="22:25">
      <c r="V686" t="str">
        <f t="shared" si="10"/>
        <v xml:space="preserve">Pounds  &lt;&lt;&lt;&gt;&gt;&gt; Pounds (troy) </v>
      </c>
      <c r="W686" t="s">
        <v>366</v>
      </c>
      <c r="X686" t="s">
        <v>566</v>
      </c>
      <c r="Y686">
        <v>1.2152799999999999</v>
      </c>
    </row>
    <row r="687" spans="22:25">
      <c r="V687" t="str">
        <f t="shared" si="10"/>
        <v xml:space="preserve">Pounds  &lt;&lt;&lt;&gt;&gt;&gt; Stones (British) </v>
      </c>
      <c r="W687" t="s">
        <v>366</v>
      </c>
      <c r="X687" t="s">
        <v>583</v>
      </c>
      <c r="Y687">
        <v>7.1428569999999997E-2</v>
      </c>
    </row>
    <row r="688" spans="22:25">
      <c r="V688" t="str">
        <f t="shared" si="10"/>
        <v xml:space="preserve">Pounds  &lt;&lt;&lt;&gt;&gt;&gt; Tons (short) </v>
      </c>
      <c r="W688" t="s">
        <v>366</v>
      </c>
      <c r="X688" t="s">
        <v>474</v>
      </c>
      <c r="Y688">
        <v>5.0000000000000001E-4</v>
      </c>
    </row>
    <row r="689" spans="22:25">
      <c r="V689" t="str">
        <f t="shared" si="10"/>
        <v>Pounds (avoirdupois) &lt;&lt;&lt;&gt;&gt;&gt; Kilograms (kg)</v>
      </c>
      <c r="W689" t="s">
        <v>466</v>
      </c>
      <c r="X689" t="s">
        <v>414</v>
      </c>
      <c r="Y689">
        <v>0.45359240000000001</v>
      </c>
    </row>
    <row r="690" spans="22:25">
      <c r="V690" t="str">
        <f t="shared" si="10"/>
        <v xml:space="preserve">Pounds (troy)  &lt;&lt;&lt;&gt;&gt;&gt; Grains </v>
      </c>
      <c r="W690" t="s">
        <v>566</v>
      </c>
      <c r="X690" t="s">
        <v>341</v>
      </c>
      <c r="Y690">
        <v>5760</v>
      </c>
    </row>
    <row r="691" spans="22:25">
      <c r="V691" t="str">
        <f t="shared" si="10"/>
        <v xml:space="preserve">Pounds (troy)  &lt;&lt;&lt;&gt;&gt;&gt; Grams </v>
      </c>
      <c r="W691" t="s">
        <v>566</v>
      </c>
      <c r="X691" t="s">
        <v>254</v>
      </c>
      <c r="Y691">
        <v>373.24176999999997</v>
      </c>
    </row>
    <row r="692" spans="22:25">
      <c r="V692" t="str">
        <f t="shared" si="10"/>
        <v xml:space="preserve">Pounds (troy)  &lt;&lt;&lt;&gt;&gt;&gt; Ounces (avoirdupois) </v>
      </c>
      <c r="W692" t="s">
        <v>566</v>
      </c>
      <c r="X692" t="s">
        <v>411</v>
      </c>
      <c r="Y692">
        <v>13.165699999999999</v>
      </c>
    </row>
    <row r="693" spans="22:25">
      <c r="V693" t="str">
        <f t="shared" si="10"/>
        <v xml:space="preserve">Pounds (troy)  &lt;&lt;&lt;&gt;&gt;&gt; Ounces (troy) </v>
      </c>
      <c r="W693" t="s">
        <v>566</v>
      </c>
      <c r="X693" t="s">
        <v>344</v>
      </c>
      <c r="Y693">
        <v>12</v>
      </c>
    </row>
    <row r="694" spans="22:25">
      <c r="V694" t="str">
        <f t="shared" si="10"/>
        <v xml:space="preserve">Pounds (troy)  &lt;&lt;&lt;&gt;&gt;&gt; Pennyweights (troy) </v>
      </c>
      <c r="W694" t="s">
        <v>566</v>
      </c>
      <c r="X694" t="s">
        <v>565</v>
      </c>
      <c r="Y694">
        <v>240</v>
      </c>
    </row>
    <row r="695" spans="22:25">
      <c r="V695" t="str">
        <f t="shared" si="10"/>
        <v xml:space="preserve">Pounds (troy)  &lt;&lt;&lt;&gt;&gt;&gt; Pounds (avoirdupois) </v>
      </c>
      <c r="W695" t="s">
        <v>566</v>
      </c>
      <c r="X695" t="s">
        <v>584</v>
      </c>
      <c r="Y695">
        <v>0.82285699999999995</v>
      </c>
    </row>
    <row r="696" spans="22:25">
      <c r="V696" t="str">
        <f t="shared" si="10"/>
        <v xml:space="preserve">Pounds (troy)  &lt;&lt;&lt;&gt;&gt;&gt; Tons (long) </v>
      </c>
      <c r="W696" t="s">
        <v>566</v>
      </c>
      <c r="X696" t="s">
        <v>450</v>
      </c>
      <c r="Y696">
        <v>3.6699999999999998E-4</v>
      </c>
    </row>
    <row r="697" spans="22:25">
      <c r="V697" t="str">
        <f t="shared" si="10"/>
        <v xml:space="preserve">Pounds (troy)  &lt;&lt;&lt;&gt;&gt;&gt; Tons (metric) </v>
      </c>
      <c r="W697" t="s">
        <v>566</v>
      </c>
      <c r="X697" t="s">
        <v>452</v>
      </c>
      <c r="Y697">
        <v>3.7300000000000001E-4</v>
      </c>
    </row>
    <row r="698" spans="22:25">
      <c r="V698" t="str">
        <f t="shared" si="10"/>
        <v xml:space="preserve">Pounds (troy)  &lt;&lt;&lt;&gt;&gt;&gt; Tons (short) </v>
      </c>
      <c r="W698" t="s">
        <v>566</v>
      </c>
      <c r="X698" t="s">
        <v>474</v>
      </c>
      <c r="Y698">
        <v>4.1100000000000002E-4</v>
      </c>
    </row>
    <row r="699" spans="22:25">
      <c r="V699" t="str">
        <f t="shared" si="10"/>
        <v xml:space="preserve">Pounds of water  &lt;&lt;&lt;&gt;&gt;&gt; Cubic Feet </v>
      </c>
      <c r="W699" t="s">
        <v>585</v>
      </c>
      <c r="X699" t="s">
        <v>1093</v>
      </c>
      <c r="Y699">
        <v>1.602E-2</v>
      </c>
    </row>
    <row r="700" spans="22:25">
      <c r="V700" t="str">
        <f t="shared" si="10"/>
        <v xml:space="preserve">Pounds of water  &lt;&lt;&lt;&gt;&gt;&gt; Cubic Inches </v>
      </c>
      <c r="W700" t="s">
        <v>585</v>
      </c>
      <c r="X700" t="s">
        <v>237</v>
      </c>
      <c r="Y700">
        <v>27.68</v>
      </c>
    </row>
    <row r="701" spans="22:25">
      <c r="V701" t="str">
        <f t="shared" si="10"/>
        <v xml:space="preserve">Pounds of water  &lt;&lt;&lt;&gt;&gt;&gt; Gallons </v>
      </c>
      <c r="W701" t="s">
        <v>585</v>
      </c>
      <c r="X701" t="s">
        <v>1125</v>
      </c>
      <c r="Y701">
        <v>0.1198</v>
      </c>
    </row>
    <row r="702" spans="22:25">
      <c r="V702" t="str">
        <f t="shared" si="10"/>
        <v xml:space="preserve">Pounds of water/Minute  &lt;&lt;&lt;&gt;&gt;&gt; Cubic Feet/Second </v>
      </c>
      <c r="W702" t="s">
        <v>317</v>
      </c>
      <c r="X702" t="s">
        <v>318</v>
      </c>
      <c r="Y702">
        <v>2.6699999999999998E-4</v>
      </c>
    </row>
    <row r="703" spans="22:25">
      <c r="V703" t="str">
        <f t="shared" si="10"/>
        <v>Pounds per Cubic Feet &lt;&lt;&lt;&gt;&gt;&gt; Kilograms per Cubic Meter</v>
      </c>
      <c r="W703" t="s">
        <v>476</v>
      </c>
      <c r="X703" t="s">
        <v>475</v>
      </c>
      <c r="Y703">
        <v>16.018460000000001</v>
      </c>
    </row>
    <row r="704" spans="22:25">
      <c r="V704" t="str">
        <f t="shared" si="10"/>
        <v>Pounds per Cubic Inch &lt;&lt;&lt;&gt;&gt;&gt; Grams per Cubic Centimeter</v>
      </c>
      <c r="W704" t="s">
        <v>424</v>
      </c>
      <c r="X704" t="s">
        <v>423</v>
      </c>
      <c r="Y704">
        <v>27.6799</v>
      </c>
    </row>
    <row r="705" spans="22:25">
      <c r="V705" t="str">
        <f t="shared" si="10"/>
        <v>Pounds per Foot &lt;&lt;&lt;&gt;&gt;&gt; Newtons (N)</v>
      </c>
      <c r="W705" t="s">
        <v>561</v>
      </c>
      <c r="X705" t="s">
        <v>361</v>
      </c>
      <c r="Y705">
        <v>14.5939</v>
      </c>
    </row>
    <row r="706" spans="22:25">
      <c r="V706" t="str">
        <f t="shared" si="10"/>
        <v>Pounds per Gallon (U.K. liquid) &lt;&lt;&lt;&gt;&gt;&gt; Kilograms per Cubic Meter</v>
      </c>
      <c r="W706" t="s">
        <v>477</v>
      </c>
      <c r="X706" t="s">
        <v>475</v>
      </c>
      <c r="Y706">
        <v>99.776330000000002</v>
      </c>
    </row>
    <row r="707" spans="22:25">
      <c r="V707" t="str">
        <f t="shared" ref="V707:V770" si="11">IF(W707="","",W707&amp;" &lt;&lt;&lt;&gt;&gt;&gt; "&amp;X707)</f>
        <v>Pounds per Gallon (U.S. liquid) &lt;&lt;&lt;&gt;&gt;&gt; Kilograms per Cubic Meter</v>
      </c>
      <c r="W707" t="s">
        <v>478</v>
      </c>
      <c r="X707" t="s">
        <v>475</v>
      </c>
      <c r="Y707">
        <v>119.82640000000001</v>
      </c>
    </row>
    <row r="708" spans="22:25">
      <c r="V708" t="str">
        <f t="shared" si="11"/>
        <v>Pounds per Inch &lt;&lt;&lt;&gt;&gt;&gt; Newtons (N)</v>
      </c>
      <c r="W708" t="s">
        <v>562</v>
      </c>
      <c r="X708" t="s">
        <v>361</v>
      </c>
      <c r="Y708">
        <v>175.1268</v>
      </c>
    </row>
    <row r="709" spans="22:25">
      <c r="V709" t="str">
        <f t="shared" si="11"/>
        <v xml:space="preserve">Pounds/cu Foot  &lt;&lt;&lt;&gt;&gt;&gt; grams/cu cm </v>
      </c>
      <c r="W709" t="s">
        <v>586</v>
      </c>
      <c r="X709" t="s">
        <v>480</v>
      </c>
      <c r="Y709">
        <v>1.602E-2</v>
      </c>
    </row>
    <row r="710" spans="22:25">
      <c r="V710" t="str">
        <f t="shared" si="11"/>
        <v xml:space="preserve">Pounds/cu Foot  &lt;&lt;&lt;&gt;&gt;&gt; Kgs/cu meter </v>
      </c>
      <c r="W710" t="s">
        <v>586</v>
      </c>
      <c r="X710" t="s">
        <v>587</v>
      </c>
      <c r="Y710">
        <v>16.02</v>
      </c>
    </row>
    <row r="711" spans="22:25">
      <c r="V711" t="str">
        <f t="shared" si="11"/>
        <v xml:space="preserve">Pounds/cu Foot  &lt;&lt;&lt;&gt;&gt;&gt; Pounds/cu Inch </v>
      </c>
      <c r="W711" t="s">
        <v>586</v>
      </c>
      <c r="X711" t="s">
        <v>482</v>
      </c>
      <c r="Y711">
        <v>5.7899999999999998E-4</v>
      </c>
    </row>
    <row r="712" spans="22:25">
      <c r="V712" t="str">
        <f t="shared" si="11"/>
        <v xml:space="preserve">Pounds/cu Foot  &lt;&lt;&lt;&gt;&gt;&gt; Pounds/mil-foot </v>
      </c>
      <c r="W712" t="s">
        <v>586</v>
      </c>
      <c r="X712" t="s">
        <v>483</v>
      </c>
      <c r="Y712">
        <v>5.4599999999999998E-9</v>
      </c>
    </row>
    <row r="713" spans="22:25">
      <c r="V713" t="str">
        <f t="shared" si="11"/>
        <v xml:space="preserve">Pounds/cu Inch  &lt;&lt;&lt;&gt;&gt;&gt; gms/cu cm </v>
      </c>
      <c r="W713" t="s">
        <v>482</v>
      </c>
      <c r="X713" t="s">
        <v>588</v>
      </c>
      <c r="Y713">
        <v>27.68</v>
      </c>
    </row>
    <row r="714" spans="22:25">
      <c r="V714" t="str">
        <f t="shared" si="11"/>
        <v xml:space="preserve">Pounds/cu Inch  &lt;&lt;&lt;&gt;&gt;&gt; Kgs/cu meter </v>
      </c>
      <c r="W714" t="s">
        <v>482</v>
      </c>
      <c r="X714" t="s">
        <v>587</v>
      </c>
      <c r="Y714">
        <v>27700</v>
      </c>
    </row>
    <row r="715" spans="22:25">
      <c r="V715" t="str">
        <f t="shared" si="11"/>
        <v xml:space="preserve">Pounds/cu Inch  &lt;&lt;&lt;&gt;&gt;&gt; Pounds/cu Foot </v>
      </c>
      <c r="W715" t="s">
        <v>482</v>
      </c>
      <c r="X715" t="s">
        <v>586</v>
      </c>
      <c r="Y715">
        <v>1728</v>
      </c>
    </row>
    <row r="716" spans="22:25">
      <c r="V716" t="str">
        <f t="shared" si="11"/>
        <v xml:space="preserve">Pounds/cu Inch  &lt;&lt;&lt;&gt;&gt;&gt; Pounds/mil-foot </v>
      </c>
      <c r="W716" t="s">
        <v>482</v>
      </c>
      <c r="X716" t="s">
        <v>483</v>
      </c>
      <c r="Y716">
        <v>9.4299999999999995E-6</v>
      </c>
    </row>
    <row r="717" spans="22:25">
      <c r="V717" t="str">
        <f t="shared" si="11"/>
        <v xml:space="preserve">Pounds/sq Foot  &lt;&lt;&lt;&gt;&gt;&gt; Atmospheres </v>
      </c>
      <c r="W717" t="s">
        <v>484</v>
      </c>
      <c r="X717" t="s">
        <v>1107</v>
      </c>
      <c r="Y717">
        <v>4.73E-4</v>
      </c>
    </row>
    <row r="718" spans="22:25">
      <c r="V718" t="str">
        <f t="shared" si="11"/>
        <v xml:space="preserve">Pounds/sq Foot  &lt;&lt;&lt;&gt;&gt;&gt; Feet of water </v>
      </c>
      <c r="W718" t="s">
        <v>484</v>
      </c>
      <c r="X718" t="s">
        <v>263</v>
      </c>
      <c r="Y718">
        <v>1.602E-2</v>
      </c>
    </row>
    <row r="719" spans="22:25">
      <c r="V719" t="str">
        <f t="shared" si="11"/>
        <v xml:space="preserve">Pounds/sq Foot  &lt;&lt;&lt;&gt;&gt;&gt; Kgs/sq meter </v>
      </c>
      <c r="W719" t="s">
        <v>484</v>
      </c>
      <c r="X719" t="s">
        <v>491</v>
      </c>
      <c r="Y719">
        <v>4.8819999999999997</v>
      </c>
    </row>
    <row r="720" spans="22:25">
      <c r="V720" t="str">
        <f t="shared" si="11"/>
        <v xml:space="preserve">Pounds/sq Foot  &lt;&lt;&lt;&gt;&gt;&gt; Pounds/sq Inch </v>
      </c>
      <c r="W720" t="s">
        <v>484</v>
      </c>
      <c r="X720" t="s">
        <v>485</v>
      </c>
      <c r="Y720">
        <v>6.94E-3</v>
      </c>
    </row>
    <row r="721" spans="22:25">
      <c r="V721" t="str">
        <f t="shared" si="11"/>
        <v xml:space="preserve">Pounds/sq Inch  &lt;&lt;&lt;&gt;&gt;&gt; Atmospheres </v>
      </c>
      <c r="W721" t="s">
        <v>485</v>
      </c>
      <c r="X721" t="s">
        <v>1107</v>
      </c>
      <c r="Y721">
        <v>6.8040000000000003E-2</v>
      </c>
    </row>
    <row r="722" spans="22:25">
      <c r="V722" t="str">
        <f t="shared" si="11"/>
        <v xml:space="preserve">Pounds/sq Inch  &lt;&lt;&lt;&gt;&gt;&gt; Feet of water </v>
      </c>
      <c r="W722" t="s">
        <v>485</v>
      </c>
      <c r="X722" t="s">
        <v>263</v>
      </c>
      <c r="Y722">
        <v>2.3069999999999999</v>
      </c>
    </row>
    <row r="723" spans="22:25">
      <c r="V723" t="str">
        <f t="shared" si="11"/>
        <v xml:space="preserve">Pounds/sq Inch  &lt;&lt;&lt;&gt;&gt;&gt; Kgs/sq meter </v>
      </c>
      <c r="W723" t="s">
        <v>485</v>
      </c>
      <c r="X723" t="s">
        <v>491</v>
      </c>
      <c r="Y723">
        <v>703.1</v>
      </c>
    </row>
    <row r="724" spans="22:25">
      <c r="V724" t="str">
        <f t="shared" si="11"/>
        <v xml:space="preserve">Pounds/sq Inch  &lt;&lt;&lt;&gt;&gt;&gt; Pounds/sq Foot </v>
      </c>
      <c r="W724" t="s">
        <v>485</v>
      </c>
      <c r="X724" t="s">
        <v>484</v>
      </c>
      <c r="Y724">
        <v>144</v>
      </c>
    </row>
    <row r="725" spans="22:25">
      <c r="V725" t="str">
        <f t="shared" si="11"/>
        <v>Pounds-Force &lt;&lt;&lt;&gt;&gt;&gt; Newtons (N)</v>
      </c>
      <c r="W725" t="s">
        <v>559</v>
      </c>
      <c r="X725" t="s">
        <v>361</v>
      </c>
      <c r="Y725">
        <v>4.4482220000000003</v>
      </c>
    </row>
    <row r="726" spans="22:25">
      <c r="V726" t="str">
        <f t="shared" si="11"/>
        <v xml:space="preserve">Quarts (dry)  &lt;&lt;&lt;&gt;&gt;&gt; Cubic Inches </v>
      </c>
      <c r="W726" t="s">
        <v>1122</v>
      </c>
      <c r="X726" t="s">
        <v>237</v>
      </c>
      <c r="Y726">
        <v>67.2</v>
      </c>
    </row>
    <row r="727" spans="22:25">
      <c r="V727" t="str">
        <f t="shared" si="11"/>
        <v xml:space="preserve">Quarts (liquid)  &lt;&lt;&lt;&gt;&gt;&gt; Cubic Centimeters </v>
      </c>
      <c r="W727" t="s">
        <v>582</v>
      </c>
      <c r="X727" t="s">
        <v>305</v>
      </c>
      <c r="Y727">
        <v>946.4</v>
      </c>
    </row>
    <row r="728" spans="22:25">
      <c r="V728" t="str">
        <f t="shared" si="11"/>
        <v xml:space="preserve">Quarts (liquid)  &lt;&lt;&lt;&gt;&gt;&gt; Cubic Feet </v>
      </c>
      <c r="W728" t="s">
        <v>582</v>
      </c>
      <c r="X728" t="s">
        <v>1093</v>
      </c>
      <c r="Y728">
        <v>3.3419999999999998E-2</v>
      </c>
    </row>
    <row r="729" spans="22:25">
      <c r="V729" t="str">
        <f t="shared" si="11"/>
        <v xml:space="preserve">Quarts (liquid)  &lt;&lt;&lt;&gt;&gt;&gt; Cubic Inches </v>
      </c>
      <c r="W729" t="s">
        <v>582</v>
      </c>
      <c r="X729" t="s">
        <v>237</v>
      </c>
      <c r="Y729">
        <v>57.75</v>
      </c>
    </row>
    <row r="730" spans="22:25">
      <c r="V730" t="str">
        <f t="shared" si="11"/>
        <v xml:space="preserve">Quarts (liquid)  &lt;&lt;&lt;&gt;&gt;&gt; Cubic Meters </v>
      </c>
      <c r="W730" t="s">
        <v>582</v>
      </c>
      <c r="X730" t="s">
        <v>238</v>
      </c>
      <c r="Y730">
        <v>9.4600000000000001E-4</v>
      </c>
    </row>
    <row r="731" spans="22:25">
      <c r="V731" t="str">
        <f t="shared" si="11"/>
        <v xml:space="preserve">Quarts (liquid)  &lt;&lt;&lt;&gt;&gt;&gt; Cubic Yards </v>
      </c>
      <c r="W731" t="s">
        <v>582</v>
      </c>
      <c r="X731" t="s">
        <v>306</v>
      </c>
      <c r="Y731">
        <v>1.24E-3</v>
      </c>
    </row>
    <row r="732" spans="22:25">
      <c r="V732" t="str">
        <f t="shared" si="11"/>
        <v xml:space="preserve">Quarts (liquid)  &lt;&lt;&lt;&gt;&gt;&gt; Gallons </v>
      </c>
      <c r="W732" t="s">
        <v>582</v>
      </c>
      <c r="X732" t="s">
        <v>1125</v>
      </c>
      <c r="Y732">
        <v>0.25</v>
      </c>
    </row>
    <row r="733" spans="22:25">
      <c r="V733" t="str">
        <f t="shared" si="11"/>
        <v xml:space="preserve">Quarts (liquid)  &lt;&lt;&lt;&gt;&gt;&gt; Liters </v>
      </c>
      <c r="W733" t="s">
        <v>582</v>
      </c>
      <c r="X733" t="s">
        <v>239</v>
      </c>
      <c r="Y733">
        <v>0.94630000000000003</v>
      </c>
    </row>
    <row r="734" spans="22:25">
      <c r="V734" t="str">
        <f t="shared" si="11"/>
        <v xml:space="preserve">Revolutions/Minutes  &lt;&lt;&lt;&gt;&gt;&gt; Revs./Seconds </v>
      </c>
      <c r="W734" t="s">
        <v>335</v>
      </c>
      <c r="X734" t="s">
        <v>589</v>
      </c>
      <c r="Y734">
        <v>1.6670000000000001E-2</v>
      </c>
    </row>
    <row r="735" spans="22:25">
      <c r="V735" t="str">
        <f t="shared" si="11"/>
        <v xml:space="preserve">Revolutions/Minutes/Minutes  &lt;&lt;&lt;&gt;&gt;&gt; Revs/Minutes/Minutes </v>
      </c>
      <c r="W735" t="s">
        <v>590</v>
      </c>
      <c r="X735" t="s">
        <v>591</v>
      </c>
      <c r="Y735">
        <v>1.6670000000000001E-2</v>
      </c>
    </row>
    <row r="736" spans="22:25">
      <c r="V736" t="str">
        <f t="shared" si="11"/>
        <v xml:space="preserve">Revolutions/Minutes/Minutes  &lt;&lt;&lt;&gt;&gt;&gt; Revs/Seconds/Seconds </v>
      </c>
      <c r="W736" t="s">
        <v>590</v>
      </c>
      <c r="X736" t="s">
        <v>592</v>
      </c>
      <c r="Y736">
        <v>2.7799999999999998E-4</v>
      </c>
    </row>
    <row r="737" spans="22:25">
      <c r="V737" t="str">
        <f t="shared" si="11"/>
        <v xml:space="preserve">Revolutions/Seconds  &lt;&lt;&lt;&gt;&gt;&gt; Revs/Minutes </v>
      </c>
      <c r="W737" t="s">
        <v>336</v>
      </c>
      <c r="X737" t="s">
        <v>593</v>
      </c>
      <c r="Y737">
        <v>60</v>
      </c>
    </row>
    <row r="738" spans="22:25">
      <c r="V738" t="str">
        <f t="shared" si="11"/>
        <v xml:space="preserve">Revolutions/Seconds/Seconds  &lt;&lt;&lt;&gt;&gt;&gt; radians/Seconds/Seconds </v>
      </c>
      <c r="W738" t="s">
        <v>594</v>
      </c>
      <c r="X738" t="s">
        <v>595</v>
      </c>
      <c r="Y738">
        <v>6.2830000000000004</v>
      </c>
    </row>
    <row r="739" spans="22:25">
      <c r="V739" t="str">
        <f t="shared" si="11"/>
        <v xml:space="preserve">Revolutions/Seconds/Seconds  &lt;&lt;&lt;&gt;&gt;&gt; Revs/Minutes/Minutes </v>
      </c>
      <c r="W739" t="s">
        <v>594</v>
      </c>
      <c r="X739" t="s">
        <v>591</v>
      </c>
      <c r="Y739">
        <v>3600</v>
      </c>
    </row>
    <row r="740" spans="22:25">
      <c r="V740" t="str">
        <f t="shared" si="11"/>
        <v xml:space="preserve">Revolutions/Seconds/Seconds  &lt;&lt;&lt;&gt;&gt;&gt; Revs/Minutes/Seconds </v>
      </c>
      <c r="W740" t="s">
        <v>594</v>
      </c>
      <c r="X740" t="s">
        <v>596</v>
      </c>
      <c r="Y740">
        <v>60</v>
      </c>
    </row>
    <row r="741" spans="22:25">
      <c r="V741" t="str">
        <f t="shared" si="11"/>
        <v xml:space="preserve">Rod  &lt;&lt;&lt;&gt;&gt;&gt; Chain (Gunter's) </v>
      </c>
      <c r="W741" t="s">
        <v>597</v>
      </c>
      <c r="X741" t="s">
        <v>598</v>
      </c>
      <c r="Y741">
        <v>0.25</v>
      </c>
    </row>
    <row r="742" spans="22:25">
      <c r="V742" t="str">
        <f t="shared" si="11"/>
        <v xml:space="preserve">Rod  &lt;&lt;&lt;&gt;&gt;&gt; Meters </v>
      </c>
      <c r="W742" t="s">
        <v>597</v>
      </c>
      <c r="X742" t="s">
        <v>500</v>
      </c>
      <c r="Y742">
        <v>5.0289999999999999</v>
      </c>
    </row>
    <row r="743" spans="22:25">
      <c r="V743" t="str">
        <f t="shared" si="11"/>
        <v xml:space="preserve">Rods  &lt;&lt;&lt;&gt;&gt;&gt; Feet </v>
      </c>
      <c r="W743" t="s">
        <v>599</v>
      </c>
      <c r="X743" t="s">
        <v>497</v>
      </c>
      <c r="Y743">
        <v>16.5</v>
      </c>
    </row>
    <row r="744" spans="22:25">
      <c r="V744" t="str">
        <f t="shared" si="11"/>
        <v xml:space="preserve">Rods (surveyor's meas.)  &lt;&lt;&lt;&gt;&gt;&gt; Yards </v>
      </c>
      <c r="W744" t="s">
        <v>600</v>
      </c>
      <c r="X744" t="s">
        <v>503</v>
      </c>
      <c r="Y744">
        <v>5.5</v>
      </c>
    </row>
    <row r="745" spans="22:25">
      <c r="V745" t="str">
        <f t="shared" si="11"/>
        <v>Seconds &lt;&lt;&lt;&gt;&gt;&gt; Minutes</v>
      </c>
      <c r="W745" t="s">
        <v>112</v>
      </c>
      <c r="X745" t="s">
        <v>111</v>
      </c>
      <c r="Y745">
        <v>1.6666670000000001E-2</v>
      </c>
    </row>
    <row r="746" spans="22:25">
      <c r="V746" t="str">
        <f t="shared" si="11"/>
        <v>Slug &lt;&lt;&lt;&gt;&gt;&gt; Kilograms</v>
      </c>
      <c r="W746" t="s">
        <v>467</v>
      </c>
      <c r="X746" t="s">
        <v>82</v>
      </c>
      <c r="Y746">
        <v>14.5939</v>
      </c>
    </row>
    <row r="747" spans="22:25">
      <c r="V747" t="str">
        <f t="shared" si="11"/>
        <v xml:space="preserve">Slug  &lt;&lt;&lt;&gt;&gt;&gt; Kilogram </v>
      </c>
      <c r="W747" t="s">
        <v>601</v>
      </c>
      <c r="X747" t="s">
        <v>602</v>
      </c>
      <c r="Y747">
        <v>14.59</v>
      </c>
    </row>
    <row r="748" spans="22:25">
      <c r="V748" t="str">
        <f t="shared" si="11"/>
        <v xml:space="preserve">Slug  &lt;&lt;&lt;&gt;&gt;&gt; Pounds </v>
      </c>
      <c r="W748" t="s">
        <v>601</v>
      </c>
      <c r="X748" t="s">
        <v>366</v>
      </c>
      <c r="Y748">
        <v>32.17</v>
      </c>
    </row>
    <row r="749" spans="22:25">
      <c r="V749" t="str">
        <f t="shared" si="11"/>
        <v xml:space="preserve">Span  &lt;&lt;&lt;&gt;&gt;&gt; Inch </v>
      </c>
      <c r="W749" t="s">
        <v>603</v>
      </c>
      <c r="X749" t="s">
        <v>604</v>
      </c>
      <c r="Y749">
        <v>9</v>
      </c>
    </row>
    <row r="750" spans="22:25">
      <c r="V750" t="str">
        <f t="shared" si="11"/>
        <v xml:space="preserve">Square centimeters  &lt;&lt;&lt;&gt;&gt;&gt; Circular Mils </v>
      </c>
      <c r="W750" t="s">
        <v>605</v>
      </c>
      <c r="X750" t="s">
        <v>286</v>
      </c>
      <c r="Y750">
        <v>197000</v>
      </c>
    </row>
    <row r="751" spans="22:25">
      <c r="V751" t="str">
        <f t="shared" si="11"/>
        <v xml:space="preserve">Square centimeters  &lt;&lt;&lt;&gt;&gt;&gt; Square Feet </v>
      </c>
      <c r="W751" t="s">
        <v>605</v>
      </c>
      <c r="X751" t="s">
        <v>1096</v>
      </c>
      <c r="Y751">
        <v>1.0763909999999999E-3</v>
      </c>
    </row>
    <row r="752" spans="22:25">
      <c r="V752" t="str">
        <f t="shared" si="11"/>
        <v xml:space="preserve">Square centimeters  &lt;&lt;&lt;&gt;&gt;&gt; Square Inches </v>
      </c>
      <c r="W752" t="s">
        <v>605</v>
      </c>
      <c r="X752" t="s">
        <v>288</v>
      </c>
      <c r="Y752">
        <v>0.15500030000000001</v>
      </c>
    </row>
    <row r="753" spans="22:25">
      <c r="V753" t="str">
        <f t="shared" si="11"/>
        <v xml:space="preserve">Square centimeters  &lt;&lt;&lt;&gt;&gt;&gt; Square Meters </v>
      </c>
      <c r="W753" t="s">
        <v>605</v>
      </c>
      <c r="X753" t="s">
        <v>1098</v>
      </c>
      <c r="Y753">
        <v>1E-4</v>
      </c>
    </row>
    <row r="754" spans="22:25">
      <c r="V754" t="str">
        <f t="shared" si="11"/>
        <v xml:space="preserve">Square centimeters  &lt;&lt;&lt;&gt;&gt;&gt; Square Miles </v>
      </c>
      <c r="W754" t="s">
        <v>605</v>
      </c>
      <c r="X754" t="s">
        <v>1099</v>
      </c>
      <c r="Y754">
        <v>3.8600000000000001E-11</v>
      </c>
    </row>
    <row r="755" spans="22:25">
      <c r="V755" t="str">
        <f t="shared" si="11"/>
        <v xml:space="preserve">Square centimeters  &lt;&lt;&lt;&gt;&gt;&gt; Square Millimeters </v>
      </c>
      <c r="W755" t="s">
        <v>605</v>
      </c>
      <c r="X755" t="s">
        <v>606</v>
      </c>
      <c r="Y755">
        <v>100</v>
      </c>
    </row>
    <row r="756" spans="22:25">
      <c r="V756" t="str">
        <f t="shared" si="11"/>
        <v xml:space="preserve">Square centimeters  &lt;&lt;&lt;&gt;&gt;&gt; Square Yards </v>
      </c>
      <c r="W756" t="s">
        <v>605</v>
      </c>
      <c r="X756" t="s">
        <v>1100</v>
      </c>
      <c r="Y756">
        <v>1.2E-4</v>
      </c>
    </row>
    <row r="757" spans="22:25">
      <c r="V757" t="str">
        <f t="shared" si="11"/>
        <v xml:space="preserve">Square Feet  &lt;&lt;&lt;&gt;&gt;&gt; Acres </v>
      </c>
      <c r="W757" t="s">
        <v>1096</v>
      </c>
      <c r="X757" t="s">
        <v>1097</v>
      </c>
      <c r="Y757">
        <v>2.3E-5</v>
      </c>
    </row>
    <row r="758" spans="22:25">
      <c r="V758" t="str">
        <f t="shared" si="11"/>
        <v xml:space="preserve">Square Feet  &lt;&lt;&lt;&gt;&gt;&gt; Circular Mils </v>
      </c>
      <c r="W758" t="s">
        <v>1096</v>
      </c>
      <c r="X758" t="s">
        <v>286</v>
      </c>
      <c r="Y758">
        <v>183000000</v>
      </c>
    </row>
    <row r="759" spans="22:25">
      <c r="V759" t="str">
        <f t="shared" si="11"/>
        <v xml:space="preserve">Square Feet  &lt;&lt;&lt;&gt;&gt;&gt; Square Centimeters </v>
      </c>
      <c r="W759" t="s">
        <v>1096</v>
      </c>
      <c r="X759" t="s">
        <v>287</v>
      </c>
      <c r="Y759">
        <v>929.03039999999999</v>
      </c>
    </row>
    <row r="760" spans="22:25">
      <c r="V760" t="str">
        <f t="shared" si="11"/>
        <v xml:space="preserve">Square Feet  &lt;&lt;&lt;&gt;&gt;&gt; Square Inches </v>
      </c>
      <c r="W760" t="s">
        <v>1096</v>
      </c>
      <c r="X760" t="s">
        <v>288</v>
      </c>
      <c r="Y760">
        <v>144</v>
      </c>
    </row>
    <row r="761" spans="22:25">
      <c r="V761" t="str">
        <f t="shared" si="11"/>
        <v xml:space="preserve">Square Feet  &lt;&lt;&lt;&gt;&gt;&gt; Square Meters </v>
      </c>
      <c r="W761" t="s">
        <v>1096</v>
      </c>
      <c r="X761" t="s">
        <v>1098</v>
      </c>
      <c r="Y761">
        <v>9.2903040000000006E-2</v>
      </c>
    </row>
    <row r="762" spans="22:25">
      <c r="V762" t="str">
        <f t="shared" si="11"/>
        <v xml:space="preserve">Square Feet  &lt;&lt;&lt;&gt;&gt;&gt; Square Miles </v>
      </c>
      <c r="W762" t="s">
        <v>1096</v>
      </c>
      <c r="X762" t="s">
        <v>1099</v>
      </c>
      <c r="Y762">
        <v>3.5899999999999997E-8</v>
      </c>
    </row>
    <row r="763" spans="22:25">
      <c r="V763" t="str">
        <f t="shared" si="11"/>
        <v xml:space="preserve">Square Feet  &lt;&lt;&lt;&gt;&gt;&gt; Square Millimeters </v>
      </c>
      <c r="W763" t="s">
        <v>1096</v>
      </c>
      <c r="X763" t="s">
        <v>606</v>
      </c>
      <c r="Y763">
        <v>92903.039999999994</v>
      </c>
    </row>
    <row r="764" spans="22:25">
      <c r="V764" t="str">
        <f t="shared" si="11"/>
        <v xml:space="preserve">Square Feet  &lt;&lt;&lt;&gt;&gt;&gt; Square Yards </v>
      </c>
      <c r="W764" t="s">
        <v>1096</v>
      </c>
      <c r="X764" t="s">
        <v>1100</v>
      </c>
      <c r="Y764">
        <v>0.1111</v>
      </c>
    </row>
    <row r="765" spans="22:25">
      <c r="V765" t="str">
        <f t="shared" si="11"/>
        <v xml:space="preserve">Square Inches  &lt;&lt;&lt;&gt;&gt;&gt; Circular Mils </v>
      </c>
      <c r="W765" t="s">
        <v>288</v>
      </c>
      <c r="X765" t="s">
        <v>286</v>
      </c>
      <c r="Y765">
        <v>1270000</v>
      </c>
    </row>
    <row r="766" spans="22:25">
      <c r="V766" t="str">
        <f t="shared" si="11"/>
        <v xml:space="preserve">Square Inches  &lt;&lt;&lt;&gt;&gt;&gt; Square Centimeters </v>
      </c>
      <c r="W766" t="s">
        <v>288</v>
      </c>
      <c r="X766" t="s">
        <v>287</v>
      </c>
      <c r="Y766">
        <v>6.4516</v>
      </c>
    </row>
    <row r="767" spans="22:25">
      <c r="V767" t="str">
        <f t="shared" si="11"/>
        <v xml:space="preserve">Square Inches  &lt;&lt;&lt;&gt;&gt;&gt; Square Feet </v>
      </c>
      <c r="W767" t="s">
        <v>288</v>
      </c>
      <c r="X767" t="s">
        <v>1096</v>
      </c>
      <c r="Y767">
        <v>6.94E-3</v>
      </c>
    </row>
    <row r="768" spans="22:25">
      <c r="V768" t="str">
        <f t="shared" si="11"/>
        <v xml:space="preserve">Square Inches  &lt;&lt;&lt;&gt;&gt;&gt; Square Meters </v>
      </c>
      <c r="W768" t="s">
        <v>288</v>
      </c>
      <c r="X768" t="s">
        <v>1098</v>
      </c>
      <c r="Y768">
        <v>6.4515999999999998E-4</v>
      </c>
    </row>
    <row r="769" spans="22:25">
      <c r="V769" t="str">
        <f t="shared" si="11"/>
        <v xml:space="preserve">Square Inches  &lt;&lt;&lt;&gt;&gt;&gt; Square Millimeters </v>
      </c>
      <c r="W769" t="s">
        <v>288</v>
      </c>
      <c r="X769" t="s">
        <v>606</v>
      </c>
      <c r="Y769">
        <v>645.16</v>
      </c>
    </row>
    <row r="770" spans="22:25">
      <c r="V770" t="str">
        <f t="shared" si="11"/>
        <v xml:space="preserve">Square Inches  &lt;&lt;&lt;&gt;&gt;&gt; Square Mils </v>
      </c>
      <c r="W770" t="s">
        <v>288</v>
      </c>
      <c r="X770" t="s">
        <v>289</v>
      </c>
      <c r="Y770">
        <v>1000000</v>
      </c>
    </row>
    <row r="771" spans="22:25">
      <c r="V771" t="str">
        <f t="shared" ref="V771:V834" si="12">IF(W771="","",W771&amp;" &lt;&lt;&lt;&gt;&gt;&gt; "&amp;X771)</f>
        <v xml:space="preserve">Square Inches  &lt;&lt;&lt;&gt;&gt;&gt; Square Yards </v>
      </c>
      <c r="W771" t="s">
        <v>288</v>
      </c>
      <c r="X771" t="s">
        <v>1100</v>
      </c>
      <c r="Y771">
        <v>7.7200000000000001E-4</v>
      </c>
    </row>
    <row r="772" spans="22:25">
      <c r="V772" t="str">
        <f t="shared" si="12"/>
        <v xml:space="preserve">Square Kilometers  &lt;&lt;&lt;&gt;&gt;&gt; Acres </v>
      </c>
      <c r="W772" t="s">
        <v>607</v>
      </c>
      <c r="X772" t="s">
        <v>1097</v>
      </c>
      <c r="Y772">
        <v>247.1</v>
      </c>
    </row>
    <row r="773" spans="22:25">
      <c r="V773" t="str">
        <f t="shared" si="12"/>
        <v xml:space="preserve">Square Kilometers  &lt;&lt;&lt;&gt;&gt;&gt; Square Centimeters </v>
      </c>
      <c r="W773" t="s">
        <v>607</v>
      </c>
      <c r="X773" t="s">
        <v>287</v>
      </c>
      <c r="Y773">
        <v>10000000000</v>
      </c>
    </row>
    <row r="774" spans="22:25">
      <c r="V774" t="str">
        <f t="shared" si="12"/>
        <v xml:space="preserve">Square Kilometers  &lt;&lt;&lt;&gt;&gt;&gt; Square Feet </v>
      </c>
      <c r="W774" t="s">
        <v>607</v>
      </c>
      <c r="X774" t="s">
        <v>1096</v>
      </c>
      <c r="Y774">
        <v>10800000</v>
      </c>
    </row>
    <row r="775" spans="22:25">
      <c r="V775" t="str">
        <f t="shared" si="12"/>
        <v xml:space="preserve">Square Kilometers  &lt;&lt;&lt;&gt;&gt;&gt; Square Inches </v>
      </c>
      <c r="W775" t="s">
        <v>607</v>
      </c>
      <c r="X775" t="s">
        <v>288</v>
      </c>
      <c r="Y775">
        <v>1550000000</v>
      </c>
    </row>
    <row r="776" spans="22:25">
      <c r="V776" t="str">
        <f t="shared" si="12"/>
        <v xml:space="preserve">Square Kilometers  &lt;&lt;&lt;&gt;&gt;&gt; Square Meters </v>
      </c>
      <c r="W776" t="s">
        <v>607</v>
      </c>
      <c r="X776" t="s">
        <v>1098</v>
      </c>
      <c r="Y776">
        <v>1000000</v>
      </c>
    </row>
    <row r="777" spans="22:25">
      <c r="V777" t="str">
        <f t="shared" si="12"/>
        <v xml:space="preserve">Square Kilometers  &lt;&lt;&lt;&gt;&gt;&gt; Square Miles </v>
      </c>
      <c r="W777" t="s">
        <v>607</v>
      </c>
      <c r="X777" t="s">
        <v>1099</v>
      </c>
      <c r="Y777">
        <v>0.3861</v>
      </c>
    </row>
    <row r="778" spans="22:25">
      <c r="V778" t="str">
        <f t="shared" si="12"/>
        <v xml:space="preserve">Square Kilometers  &lt;&lt;&lt;&gt;&gt;&gt; Square Yards </v>
      </c>
      <c r="W778" t="s">
        <v>607</v>
      </c>
      <c r="X778" t="s">
        <v>1100</v>
      </c>
      <c r="Y778">
        <v>1200000</v>
      </c>
    </row>
    <row r="779" spans="22:25">
      <c r="V779" t="str">
        <f t="shared" si="12"/>
        <v xml:space="preserve">Square Meters  &lt;&lt;&lt;&gt;&gt;&gt; Acres </v>
      </c>
      <c r="W779" t="s">
        <v>1098</v>
      </c>
      <c r="X779" t="s">
        <v>1097</v>
      </c>
      <c r="Y779">
        <v>2.4710539999999999E-4</v>
      </c>
    </row>
    <row r="780" spans="22:25">
      <c r="V780" t="str">
        <f t="shared" si="12"/>
        <v xml:space="preserve">Square Meters  &lt;&lt;&lt;&gt;&gt;&gt; Square Centimeters </v>
      </c>
      <c r="W780" t="s">
        <v>1098</v>
      </c>
      <c r="X780" t="s">
        <v>287</v>
      </c>
      <c r="Y780">
        <v>10000</v>
      </c>
    </row>
    <row r="781" spans="22:25">
      <c r="V781" t="str">
        <f t="shared" si="12"/>
        <v xml:space="preserve">Square Meters  &lt;&lt;&lt;&gt;&gt;&gt; Square Feet </v>
      </c>
      <c r="W781" t="s">
        <v>1098</v>
      </c>
      <c r="X781" t="s">
        <v>1096</v>
      </c>
      <c r="Y781">
        <v>10.763909999999999</v>
      </c>
    </row>
    <row r="782" spans="22:25">
      <c r="V782" t="str">
        <f t="shared" si="12"/>
        <v xml:space="preserve">Square Meters  &lt;&lt;&lt;&gt;&gt;&gt; Square Inches </v>
      </c>
      <c r="W782" t="s">
        <v>1098</v>
      </c>
      <c r="X782" t="s">
        <v>288</v>
      </c>
      <c r="Y782">
        <v>1550.0029999999999</v>
      </c>
    </row>
    <row r="783" spans="22:25">
      <c r="V783" t="str">
        <f t="shared" si="12"/>
        <v xml:space="preserve">Square Meters  &lt;&lt;&lt;&gt;&gt;&gt; Square Miles </v>
      </c>
      <c r="W783" t="s">
        <v>1098</v>
      </c>
      <c r="X783" t="s">
        <v>1099</v>
      </c>
      <c r="Y783">
        <v>3.8599999999999999E-7</v>
      </c>
    </row>
    <row r="784" spans="22:25">
      <c r="V784" t="str">
        <f t="shared" si="12"/>
        <v xml:space="preserve">Square Meters  &lt;&lt;&lt;&gt;&gt;&gt; Square Millimeters </v>
      </c>
      <c r="W784" t="s">
        <v>1098</v>
      </c>
      <c r="X784" t="s">
        <v>606</v>
      </c>
      <c r="Y784">
        <v>1000000</v>
      </c>
    </row>
    <row r="785" spans="22:25">
      <c r="V785" t="str">
        <f t="shared" si="12"/>
        <v xml:space="preserve">Square Meters  &lt;&lt;&lt;&gt;&gt;&gt; Square Yards </v>
      </c>
      <c r="W785" t="s">
        <v>1098</v>
      </c>
      <c r="X785" t="s">
        <v>1100</v>
      </c>
      <c r="Y785">
        <v>1.1959900000000001</v>
      </c>
    </row>
    <row r="786" spans="22:25">
      <c r="V786" t="str">
        <f t="shared" si="12"/>
        <v xml:space="preserve">Square Miles  &lt;&lt;&lt;&gt;&gt;&gt; Acres </v>
      </c>
      <c r="W786" t="s">
        <v>1099</v>
      </c>
      <c r="X786" t="s">
        <v>1097</v>
      </c>
      <c r="Y786">
        <v>640</v>
      </c>
    </row>
    <row r="787" spans="22:25">
      <c r="V787" t="str">
        <f t="shared" si="12"/>
        <v xml:space="preserve">Square Miles  &lt;&lt;&lt;&gt;&gt;&gt; Square Feet </v>
      </c>
      <c r="W787" t="s">
        <v>1099</v>
      </c>
      <c r="X787" t="s">
        <v>1096</v>
      </c>
      <c r="Y787">
        <v>27900000</v>
      </c>
    </row>
    <row r="788" spans="22:25">
      <c r="V788" t="str">
        <f t="shared" si="12"/>
        <v xml:space="preserve">Square Miles  &lt;&lt;&lt;&gt;&gt;&gt; Square kms </v>
      </c>
      <c r="W788" t="s">
        <v>1099</v>
      </c>
      <c r="X788" t="s">
        <v>608</v>
      </c>
      <c r="Y788">
        <v>2.59</v>
      </c>
    </row>
    <row r="789" spans="22:25">
      <c r="V789" t="str">
        <f t="shared" si="12"/>
        <v xml:space="preserve">Square Miles  &lt;&lt;&lt;&gt;&gt;&gt; Square Meters </v>
      </c>
      <c r="W789" t="s">
        <v>1099</v>
      </c>
      <c r="X789" t="s">
        <v>1098</v>
      </c>
      <c r="Y789">
        <v>2590000</v>
      </c>
    </row>
    <row r="790" spans="22:25">
      <c r="V790" t="str">
        <f t="shared" si="12"/>
        <v xml:space="preserve">Square Miles  &lt;&lt;&lt;&gt;&gt;&gt; Square Yards </v>
      </c>
      <c r="W790" t="s">
        <v>1099</v>
      </c>
      <c r="X790" t="s">
        <v>1100</v>
      </c>
      <c r="Y790">
        <v>3100000</v>
      </c>
    </row>
    <row r="791" spans="22:25">
      <c r="V791" t="str">
        <f t="shared" si="12"/>
        <v xml:space="preserve">Square Millimeters  &lt;&lt;&lt;&gt;&gt;&gt; Circular Mils </v>
      </c>
      <c r="W791" t="s">
        <v>606</v>
      </c>
      <c r="X791" t="s">
        <v>286</v>
      </c>
      <c r="Y791">
        <v>1973</v>
      </c>
    </row>
    <row r="792" spans="22:25">
      <c r="V792" t="str">
        <f t="shared" si="12"/>
        <v xml:space="preserve">Square Millimeters  &lt;&lt;&lt;&gt;&gt;&gt; Square Centimeters </v>
      </c>
      <c r="W792" t="s">
        <v>606</v>
      </c>
      <c r="X792" t="s">
        <v>287</v>
      </c>
      <c r="Y792">
        <v>0.01</v>
      </c>
    </row>
    <row r="793" spans="22:25">
      <c r="V793" t="str">
        <f t="shared" si="12"/>
        <v xml:space="preserve">Square Millimeters  &lt;&lt;&lt;&gt;&gt;&gt; Square Feet </v>
      </c>
      <c r="W793" t="s">
        <v>606</v>
      </c>
      <c r="X793" t="s">
        <v>1096</v>
      </c>
      <c r="Y793">
        <v>1.0763909999999999E-5</v>
      </c>
    </row>
    <row r="794" spans="22:25">
      <c r="V794" t="str">
        <f t="shared" si="12"/>
        <v xml:space="preserve">Square Millimeters  &lt;&lt;&lt;&gt;&gt;&gt; Square Inches </v>
      </c>
      <c r="W794" t="s">
        <v>606</v>
      </c>
      <c r="X794" t="s">
        <v>288</v>
      </c>
      <c r="Y794">
        <v>1.5500030000000001E-3</v>
      </c>
    </row>
    <row r="795" spans="22:25">
      <c r="V795" t="str">
        <f t="shared" si="12"/>
        <v xml:space="preserve">Square Mils  &lt;&lt;&lt;&gt;&gt;&gt; Circular Mils </v>
      </c>
      <c r="W795" t="s">
        <v>289</v>
      </c>
      <c r="X795" t="s">
        <v>286</v>
      </c>
      <c r="Y795">
        <v>1.2729999999999999</v>
      </c>
    </row>
    <row r="796" spans="22:25">
      <c r="V796" t="str">
        <f t="shared" si="12"/>
        <v xml:space="preserve">Square Mils  &lt;&lt;&lt;&gt;&gt;&gt; Square Centimeters </v>
      </c>
      <c r="W796" t="s">
        <v>289</v>
      </c>
      <c r="X796" t="s">
        <v>287</v>
      </c>
      <c r="Y796">
        <v>6.4500000000000001E-6</v>
      </c>
    </row>
    <row r="797" spans="22:25">
      <c r="V797" t="str">
        <f t="shared" si="12"/>
        <v xml:space="preserve">Square Mils  &lt;&lt;&lt;&gt;&gt;&gt; Square Inches </v>
      </c>
      <c r="W797" t="s">
        <v>289</v>
      </c>
      <c r="X797" t="s">
        <v>288</v>
      </c>
      <c r="Y797">
        <v>9.9999999999999995E-7</v>
      </c>
    </row>
    <row r="798" spans="22:25">
      <c r="V798" t="str">
        <f t="shared" si="12"/>
        <v xml:space="preserve">Square Yards  &lt;&lt;&lt;&gt;&gt;&gt; Acres </v>
      </c>
      <c r="W798" t="s">
        <v>1100</v>
      </c>
      <c r="X798" t="s">
        <v>1097</v>
      </c>
      <c r="Y798">
        <v>2.0699999999999999E-4</v>
      </c>
    </row>
    <row r="799" spans="22:25">
      <c r="V799" t="str">
        <f t="shared" si="12"/>
        <v xml:space="preserve">Square Yards  &lt;&lt;&lt;&gt;&gt;&gt; Square Centimeters </v>
      </c>
      <c r="W799" t="s">
        <v>1100</v>
      </c>
      <c r="X799" t="s">
        <v>287</v>
      </c>
      <c r="Y799">
        <v>8361</v>
      </c>
    </row>
    <row r="800" spans="22:25">
      <c r="V800" t="str">
        <f t="shared" si="12"/>
        <v xml:space="preserve">Square Yards  &lt;&lt;&lt;&gt;&gt;&gt; Square Feet </v>
      </c>
      <c r="W800" t="s">
        <v>1100</v>
      </c>
      <c r="X800" t="s">
        <v>1096</v>
      </c>
      <c r="Y800">
        <v>9</v>
      </c>
    </row>
    <row r="801" spans="22:25">
      <c r="V801" t="str">
        <f t="shared" si="12"/>
        <v xml:space="preserve">Square Yards  &lt;&lt;&lt;&gt;&gt;&gt; Square Inches </v>
      </c>
      <c r="W801" t="s">
        <v>1100</v>
      </c>
      <c r="X801" t="s">
        <v>288</v>
      </c>
      <c r="Y801">
        <v>1296</v>
      </c>
    </row>
    <row r="802" spans="22:25">
      <c r="V802" t="str">
        <f t="shared" si="12"/>
        <v xml:space="preserve">Square Yards  &lt;&lt;&lt;&gt;&gt;&gt; Square Meters </v>
      </c>
      <c r="W802" t="s">
        <v>1100</v>
      </c>
      <c r="X802" t="s">
        <v>1098</v>
      </c>
      <c r="Y802">
        <v>0.83612739999999997</v>
      </c>
    </row>
    <row r="803" spans="22:25">
      <c r="V803" t="str">
        <f t="shared" si="12"/>
        <v xml:space="preserve">Square Yards  &lt;&lt;&lt;&gt;&gt;&gt; Square Miles </v>
      </c>
      <c r="W803" t="s">
        <v>1100</v>
      </c>
      <c r="X803" t="s">
        <v>1099</v>
      </c>
      <c r="Y803">
        <v>3.2300000000000002E-7</v>
      </c>
    </row>
    <row r="804" spans="22:25">
      <c r="V804" t="str">
        <f t="shared" si="12"/>
        <v xml:space="preserve">Square Yards  &lt;&lt;&lt;&gt;&gt;&gt; Square Millimeters </v>
      </c>
      <c r="W804" t="s">
        <v>1100</v>
      </c>
      <c r="X804" t="s">
        <v>606</v>
      </c>
      <c r="Y804">
        <v>836000</v>
      </c>
    </row>
    <row r="805" spans="22:25">
      <c r="V805" t="str">
        <f t="shared" si="12"/>
        <v xml:space="preserve">Stone (British)  &lt;&lt;&lt;&gt;&gt;&gt; Pound (avoirdupois) </v>
      </c>
      <c r="W805" t="s">
        <v>609</v>
      </c>
      <c r="X805" t="s">
        <v>610</v>
      </c>
      <c r="Y805">
        <v>14</v>
      </c>
    </row>
    <row r="806" spans="22:25">
      <c r="V806" t="str">
        <f t="shared" si="12"/>
        <v xml:space="preserve">Tablespoons (metric)  &lt;&lt;&lt;&gt;&gt;&gt; Milliliter </v>
      </c>
      <c r="W806" t="s">
        <v>611</v>
      </c>
      <c r="X806" t="s">
        <v>612</v>
      </c>
      <c r="Y806">
        <v>15</v>
      </c>
    </row>
    <row r="807" spans="22:25">
      <c r="V807" t="str">
        <f t="shared" si="12"/>
        <v>Tablespoons (US)  &lt;&lt;&lt;&gt;&gt;&gt; Cups</v>
      </c>
      <c r="W807" t="s">
        <v>613</v>
      </c>
      <c r="X807" t="s">
        <v>647</v>
      </c>
      <c r="Y807">
        <v>6.25E-2</v>
      </c>
    </row>
    <row r="808" spans="22:25">
      <c r="V808" t="str">
        <f t="shared" si="12"/>
        <v>Tablespoons (US)  &lt;&lt;&lt;&gt;&gt;&gt; Drops</v>
      </c>
      <c r="W808" t="s">
        <v>613</v>
      </c>
      <c r="X808" t="s">
        <v>648</v>
      </c>
      <c r="Y808">
        <v>180</v>
      </c>
    </row>
    <row r="809" spans="22:25">
      <c r="V809" t="str">
        <f t="shared" si="12"/>
        <v>Tablespoons (US)  &lt;&lt;&lt;&gt;&gt;&gt; Gills</v>
      </c>
      <c r="W809" t="s">
        <v>613</v>
      </c>
      <c r="X809" t="s">
        <v>649</v>
      </c>
      <c r="Y809">
        <v>0.125</v>
      </c>
    </row>
    <row r="810" spans="22:25">
      <c r="V810" t="str">
        <f t="shared" si="12"/>
        <v xml:space="preserve">Tablespoons (US)  &lt;&lt;&lt;&gt;&gt;&gt; Milliliter </v>
      </c>
      <c r="W810" t="s">
        <v>613</v>
      </c>
      <c r="X810" t="s">
        <v>612</v>
      </c>
      <c r="Y810">
        <v>14.79</v>
      </c>
    </row>
    <row r="811" spans="22:25">
      <c r="V811" t="str">
        <f t="shared" si="12"/>
        <v>Tablespoons (US)  &lt;&lt;&lt;&gt;&gt;&gt; Ounces (U.S. fluid)</v>
      </c>
      <c r="W811" t="s">
        <v>613</v>
      </c>
      <c r="X811" t="s">
        <v>650</v>
      </c>
      <c r="Y811">
        <v>0.5</v>
      </c>
    </row>
    <row r="812" spans="22:25">
      <c r="V812" t="str">
        <f t="shared" si="12"/>
        <v>Tablespoons (US)  &lt;&lt;&lt;&gt;&gt;&gt; Quarts</v>
      </c>
      <c r="W812" t="s">
        <v>613</v>
      </c>
      <c r="X812" t="s">
        <v>84</v>
      </c>
      <c r="Y812">
        <v>1.5625E-2</v>
      </c>
    </row>
    <row r="813" spans="22:25">
      <c r="V813" t="str">
        <f t="shared" si="12"/>
        <v>Tablespoons (US)  &lt;&lt;&lt;&gt;&gt;&gt; Teaspoons (US)</v>
      </c>
      <c r="W813" t="s">
        <v>613</v>
      </c>
      <c r="X813" t="s">
        <v>651</v>
      </c>
      <c r="Y813">
        <v>3</v>
      </c>
    </row>
    <row r="814" spans="22:25">
      <c r="V814" t="str">
        <f t="shared" si="12"/>
        <v xml:space="preserve">Teaspoons (metric)  &lt;&lt;&lt;&gt;&gt;&gt; Milliliter </v>
      </c>
      <c r="W814" t="s">
        <v>614</v>
      </c>
      <c r="X814" t="s">
        <v>612</v>
      </c>
      <c r="Y814">
        <v>5</v>
      </c>
    </row>
    <row r="815" spans="22:25">
      <c r="V815" t="str">
        <f t="shared" si="12"/>
        <v xml:space="preserve">Teaspoons (US)  &lt;&lt;&lt;&gt;&gt;&gt; Cubic Centimeters </v>
      </c>
      <c r="W815" t="s">
        <v>615</v>
      </c>
      <c r="X815" t="s">
        <v>305</v>
      </c>
      <c r="Y815">
        <v>4.93</v>
      </c>
    </row>
    <row r="816" spans="22:25">
      <c r="V816" t="str">
        <f t="shared" si="12"/>
        <v>Teaspoons (US)  &lt;&lt;&lt;&gt;&gt;&gt; Cups</v>
      </c>
      <c r="W816" t="s">
        <v>615</v>
      </c>
      <c r="X816" t="s">
        <v>647</v>
      </c>
      <c r="Y816">
        <v>2.0833299999999999E-2</v>
      </c>
    </row>
    <row r="817" spans="22:25">
      <c r="V817" t="str">
        <f t="shared" si="12"/>
        <v>Teaspoons (US)  &lt;&lt;&lt;&gt;&gt;&gt; Drops</v>
      </c>
      <c r="W817" t="s">
        <v>615</v>
      </c>
      <c r="X817" t="s">
        <v>648</v>
      </c>
      <c r="Y817">
        <v>4.1669999999999999E-2</v>
      </c>
    </row>
    <row r="818" spans="22:25">
      <c r="V818" t="str">
        <f t="shared" si="12"/>
        <v>Teaspoons (US)  &lt;&lt;&lt;&gt;&gt;&gt; Ounces (U.S. fluid)</v>
      </c>
      <c r="W818" t="s">
        <v>615</v>
      </c>
      <c r="X818" t="s">
        <v>650</v>
      </c>
      <c r="Y818">
        <v>0.16667000000000001</v>
      </c>
    </row>
    <row r="819" spans="22:25">
      <c r="V819" t="str">
        <f t="shared" si="12"/>
        <v>Teaspoons (US)  &lt;&lt;&lt;&gt;&gt;&gt; Pints</v>
      </c>
      <c r="W819" t="s">
        <v>615</v>
      </c>
      <c r="X819" t="s">
        <v>652</v>
      </c>
      <c r="Y819">
        <v>1.042E-2</v>
      </c>
    </row>
    <row r="820" spans="22:25">
      <c r="V820" t="str">
        <f t="shared" si="12"/>
        <v>Teaspoons (US)  &lt;&lt;&lt;&gt;&gt;&gt; Quarts</v>
      </c>
      <c r="W820" t="s">
        <v>615</v>
      </c>
      <c r="X820" t="s">
        <v>84</v>
      </c>
      <c r="Y820">
        <v>5.2100000000000002E-3</v>
      </c>
    </row>
    <row r="821" spans="22:25">
      <c r="V821" t="str">
        <f t="shared" si="12"/>
        <v xml:space="preserve">Teaspoons (US)  &lt;&lt;&lt;&gt;&gt;&gt; Tablespoons (US) </v>
      </c>
      <c r="W821" t="s">
        <v>615</v>
      </c>
      <c r="X821" t="s">
        <v>613</v>
      </c>
      <c r="Y821">
        <v>0.33329999999999999</v>
      </c>
    </row>
    <row r="822" spans="22:25">
      <c r="V822" t="str">
        <f t="shared" si="12"/>
        <v>Tonne &lt;&lt;&lt;&gt;&gt;&gt; Kilograms (kg)</v>
      </c>
      <c r="W822" t="s">
        <v>468</v>
      </c>
      <c r="X822" t="s">
        <v>414</v>
      </c>
      <c r="Y822">
        <v>1000</v>
      </c>
    </row>
    <row r="823" spans="22:25">
      <c r="V823" t="str">
        <f t="shared" si="12"/>
        <v>Tons (long 2000 lb) &lt;&lt;&lt;&gt;&gt;&gt; Kilograms (kg)</v>
      </c>
      <c r="W823" t="s">
        <v>616</v>
      </c>
      <c r="X823" t="s">
        <v>414</v>
      </c>
      <c r="Y823">
        <v>907.18470000000002</v>
      </c>
    </row>
    <row r="824" spans="22:25">
      <c r="V824" t="str">
        <f t="shared" si="12"/>
        <v>Tons (long 2240 lb) &lt;&lt;&lt;&gt;&gt;&gt; Kilogram (kg)</v>
      </c>
      <c r="W824" t="s">
        <v>617</v>
      </c>
      <c r="X824" t="s">
        <v>448</v>
      </c>
      <c r="Y824">
        <v>1016.047</v>
      </c>
    </row>
    <row r="825" spans="22:25">
      <c r="V825" t="str">
        <f t="shared" si="12"/>
        <v xml:space="preserve">Tons (long)  &lt;&lt;&lt;&gt;&gt;&gt; Kilograms </v>
      </c>
      <c r="W825" t="s">
        <v>450</v>
      </c>
      <c r="X825" t="s">
        <v>364</v>
      </c>
      <c r="Y825">
        <v>1016</v>
      </c>
    </row>
    <row r="826" spans="22:25">
      <c r="V826" t="str">
        <f t="shared" si="12"/>
        <v xml:space="preserve">Tons (long)  &lt;&lt;&lt;&gt;&gt;&gt; Pounds </v>
      </c>
      <c r="W826" t="s">
        <v>450</v>
      </c>
      <c r="X826" t="s">
        <v>366</v>
      </c>
      <c r="Y826">
        <v>2240</v>
      </c>
    </row>
    <row r="827" spans="22:25">
      <c r="V827" t="str">
        <f t="shared" si="12"/>
        <v xml:space="preserve">Tons (long)  &lt;&lt;&lt;&gt;&gt;&gt; Tons (short) </v>
      </c>
      <c r="W827" t="s">
        <v>450</v>
      </c>
      <c r="X827" t="s">
        <v>474</v>
      </c>
      <c r="Y827">
        <v>1.1200000000000001</v>
      </c>
    </row>
    <row r="828" spans="22:25">
      <c r="V828" t="str">
        <f t="shared" si="12"/>
        <v>Tons (metric) &lt;&lt;&lt;&gt;&gt;&gt; Kilograms (kg)</v>
      </c>
      <c r="W828" t="s">
        <v>470</v>
      </c>
      <c r="X828" t="s">
        <v>414</v>
      </c>
      <c r="Y828">
        <v>1000</v>
      </c>
    </row>
    <row r="829" spans="22:25">
      <c r="V829" t="str">
        <f t="shared" si="12"/>
        <v xml:space="preserve">Tons (metric)  &lt;&lt;&lt;&gt;&gt;&gt; Kilograms </v>
      </c>
      <c r="W829" t="s">
        <v>452</v>
      </c>
      <c r="X829" t="s">
        <v>364</v>
      </c>
      <c r="Y829">
        <v>1000</v>
      </c>
    </row>
    <row r="830" spans="22:25">
      <c r="V830" t="str">
        <f t="shared" si="12"/>
        <v xml:space="preserve">Tons (metric)  &lt;&lt;&lt;&gt;&gt;&gt; Pounds </v>
      </c>
      <c r="W830" t="s">
        <v>452</v>
      </c>
      <c r="X830" t="s">
        <v>366</v>
      </c>
      <c r="Y830">
        <v>2205</v>
      </c>
    </row>
    <row r="831" spans="22:25">
      <c r="V831" t="str">
        <f t="shared" si="12"/>
        <v xml:space="preserve">Tons (short)  &lt;&lt;&lt;&gt;&gt;&gt; Ounces </v>
      </c>
      <c r="W831" t="s">
        <v>474</v>
      </c>
      <c r="X831" t="s">
        <v>342</v>
      </c>
      <c r="Y831">
        <v>32000</v>
      </c>
    </row>
    <row r="832" spans="22:25">
      <c r="V832" t="str">
        <f t="shared" si="12"/>
        <v xml:space="preserve">Tons (short)  &lt;&lt;&lt;&gt;&gt;&gt; Ounces (troy) </v>
      </c>
      <c r="W832" t="s">
        <v>474</v>
      </c>
      <c r="X832" t="s">
        <v>344</v>
      </c>
      <c r="Y832">
        <v>29166.66</v>
      </c>
    </row>
    <row r="833" spans="22:25">
      <c r="V833" t="str">
        <f t="shared" si="12"/>
        <v xml:space="preserve">Tons (short)  &lt;&lt;&lt;&gt;&gt;&gt; Pounds </v>
      </c>
      <c r="W833" t="s">
        <v>474</v>
      </c>
      <c r="X833" t="s">
        <v>366</v>
      </c>
      <c r="Y833">
        <v>2000</v>
      </c>
    </row>
    <row r="834" spans="22:25">
      <c r="V834" t="str">
        <f t="shared" si="12"/>
        <v xml:space="preserve">Tons (short)  &lt;&lt;&lt;&gt;&gt;&gt; Pounds (troy) </v>
      </c>
      <c r="W834" t="s">
        <v>474</v>
      </c>
      <c r="X834" t="s">
        <v>566</v>
      </c>
      <c r="Y834">
        <v>2430.56</v>
      </c>
    </row>
    <row r="835" spans="22:25">
      <c r="V835" t="str">
        <f t="shared" ref="V835:V898" si="13">IF(W835="","",W835&amp;" &lt;&lt;&lt;&gt;&gt;&gt; "&amp;X835)</f>
        <v xml:space="preserve">Tons (short)  &lt;&lt;&lt;&gt;&gt;&gt; Tons (long) </v>
      </c>
      <c r="W835" t="s">
        <v>474</v>
      </c>
      <c r="X835" t="s">
        <v>450</v>
      </c>
      <c r="Y835">
        <v>0.89287000000000005</v>
      </c>
    </row>
    <row r="836" spans="22:25">
      <c r="V836" t="str">
        <f t="shared" si="13"/>
        <v xml:space="preserve">Tons (short)  &lt;&lt;&lt;&gt;&gt;&gt; Tons (metric) </v>
      </c>
      <c r="W836" t="s">
        <v>474</v>
      </c>
      <c r="X836" t="s">
        <v>452</v>
      </c>
      <c r="Y836">
        <v>0.90780000000000005</v>
      </c>
    </row>
    <row r="837" spans="22:25">
      <c r="V837" t="str">
        <f t="shared" si="13"/>
        <v xml:space="preserve">Tons (short)/sq Foot  &lt;&lt;&lt;&gt;&gt;&gt; Kgs/sq meter </v>
      </c>
      <c r="W837" t="s">
        <v>618</v>
      </c>
      <c r="X837" t="s">
        <v>491</v>
      </c>
      <c r="Y837">
        <v>9765</v>
      </c>
    </row>
    <row r="838" spans="22:25">
      <c r="V838" t="str">
        <f t="shared" si="13"/>
        <v xml:space="preserve">Tons (short)/sq Foot  &lt;&lt;&lt;&gt;&gt;&gt; Pounds/sq Inch </v>
      </c>
      <c r="W838" t="s">
        <v>618</v>
      </c>
      <c r="X838" t="s">
        <v>485</v>
      </c>
      <c r="Y838">
        <v>2000</v>
      </c>
    </row>
    <row r="839" spans="22:25">
      <c r="V839" t="str">
        <f t="shared" si="13"/>
        <v xml:space="preserve">Tons of water/24 Hours  &lt;&lt;&lt;&gt;&gt;&gt; Cubic Feet/Hour </v>
      </c>
      <c r="W839" t="s">
        <v>619</v>
      </c>
      <c r="X839" t="s">
        <v>399</v>
      </c>
      <c r="Y839">
        <v>1.3349</v>
      </c>
    </row>
    <row r="840" spans="22:25">
      <c r="V840" t="str">
        <f t="shared" si="13"/>
        <v xml:space="preserve">Tons of water/24 Hours  &lt;&lt;&lt;&gt;&gt;&gt; Gallons/Minute </v>
      </c>
      <c r="W840" t="s">
        <v>619</v>
      </c>
      <c r="X840" t="s">
        <v>319</v>
      </c>
      <c r="Y840">
        <v>0.16642999999999999</v>
      </c>
    </row>
    <row r="841" spans="22:25">
      <c r="V841" t="str">
        <f t="shared" si="13"/>
        <v xml:space="preserve">Tons of water/24 Hours  &lt;&lt;&lt;&gt;&gt;&gt; Pounds of water/Hour </v>
      </c>
      <c r="W841" t="s">
        <v>619</v>
      </c>
      <c r="X841" t="s">
        <v>620</v>
      </c>
      <c r="Y841">
        <v>83.332999999999998</v>
      </c>
    </row>
    <row r="842" spans="22:25">
      <c r="V842" t="str">
        <f t="shared" si="13"/>
        <v xml:space="preserve">Volt (absolute)  &lt;&lt;&lt;&gt;&gt;&gt; StatVolts </v>
      </c>
      <c r="W842" t="s">
        <v>621</v>
      </c>
      <c r="X842" t="s">
        <v>622</v>
      </c>
      <c r="Y842">
        <v>3.336E-3</v>
      </c>
    </row>
    <row r="843" spans="22:25">
      <c r="V843" t="str">
        <f t="shared" si="13"/>
        <v xml:space="preserve">Volt Inch  &lt;&lt;&lt;&gt;&gt;&gt; Volt/Centimeters </v>
      </c>
      <c r="W843" t="s">
        <v>623</v>
      </c>
      <c r="X843" t="s">
        <v>624</v>
      </c>
      <c r="Y843">
        <v>0.39369999999999999</v>
      </c>
    </row>
    <row r="844" spans="22:25">
      <c r="V844" t="str">
        <f t="shared" si="13"/>
        <v xml:space="preserve">Watt (international)  &lt;&lt;&lt;&gt;&gt;&gt; Watt (absolute) </v>
      </c>
      <c r="W844" t="s">
        <v>625</v>
      </c>
      <c r="X844" t="s">
        <v>626</v>
      </c>
      <c r="Y844">
        <v>1.0002</v>
      </c>
    </row>
    <row r="845" spans="22:25">
      <c r="V845" t="str">
        <f t="shared" si="13"/>
        <v xml:space="preserve">Watt-Hours  &lt;&lt;&lt;&gt;&gt;&gt; BTU </v>
      </c>
      <c r="W845" t="s">
        <v>371</v>
      </c>
      <c r="X845" t="s">
        <v>1133</v>
      </c>
      <c r="Y845">
        <v>3.4129999999999998</v>
      </c>
    </row>
    <row r="846" spans="22:25">
      <c r="V846" t="str">
        <f t="shared" si="13"/>
        <v xml:space="preserve">Watt-Hours  &lt;&lt;&lt;&gt;&gt;&gt; Ergs </v>
      </c>
      <c r="W846" t="s">
        <v>371</v>
      </c>
      <c r="X846" t="s">
        <v>1134</v>
      </c>
      <c r="Y846">
        <v>36000000000</v>
      </c>
    </row>
    <row r="847" spans="22:25">
      <c r="V847" t="str">
        <f t="shared" si="13"/>
        <v xml:space="preserve">Watt-Hours  &lt;&lt;&lt;&gt;&gt;&gt; Foot-pounds </v>
      </c>
      <c r="W847" t="s">
        <v>371</v>
      </c>
      <c r="X847" t="s">
        <v>389</v>
      </c>
      <c r="Y847">
        <v>2656</v>
      </c>
    </row>
    <row r="848" spans="22:25">
      <c r="V848" t="str">
        <f t="shared" si="13"/>
        <v xml:space="preserve">Watt-Hours  &lt;&lt;&lt;&gt;&gt;&gt; Gram-Calories </v>
      </c>
      <c r="W848" t="s">
        <v>371</v>
      </c>
      <c r="X848" t="s">
        <v>1136</v>
      </c>
      <c r="Y848">
        <v>859.85</v>
      </c>
    </row>
    <row r="849" spans="22:25">
      <c r="V849" t="str">
        <f t="shared" si="13"/>
        <v xml:space="preserve">Watt-Hours  &lt;&lt;&lt;&gt;&gt;&gt; HorsePower-Hours </v>
      </c>
      <c r="W849" t="s">
        <v>371</v>
      </c>
      <c r="X849" t="s">
        <v>1137</v>
      </c>
      <c r="Y849">
        <v>1.34E-3</v>
      </c>
    </row>
    <row r="850" spans="22:25">
      <c r="V850" t="str">
        <f t="shared" si="13"/>
        <v xml:space="preserve">Watt-Hours  &lt;&lt;&lt;&gt;&gt;&gt; Kilogram-Calories </v>
      </c>
      <c r="W850" t="s">
        <v>371</v>
      </c>
      <c r="X850" t="s">
        <v>1139</v>
      </c>
      <c r="Y850">
        <v>0.86050000000000004</v>
      </c>
    </row>
    <row r="851" spans="22:25">
      <c r="V851" t="str">
        <f t="shared" si="13"/>
        <v xml:space="preserve">Watt-Hours  &lt;&lt;&lt;&gt;&gt;&gt; kiloram-meters </v>
      </c>
      <c r="W851" t="s">
        <v>371</v>
      </c>
      <c r="X851" t="s">
        <v>627</v>
      </c>
      <c r="Y851">
        <v>367.2</v>
      </c>
    </row>
    <row r="852" spans="22:25">
      <c r="V852" t="str">
        <f t="shared" si="13"/>
        <v xml:space="preserve">Watt-Hours  &lt;&lt;&lt;&gt;&gt;&gt; Kilowatt-Hours </v>
      </c>
      <c r="W852" t="s">
        <v>371</v>
      </c>
      <c r="X852" t="s">
        <v>1141</v>
      </c>
      <c r="Y852">
        <v>1E-3</v>
      </c>
    </row>
    <row r="853" spans="22:25">
      <c r="V853" t="str">
        <f t="shared" si="13"/>
        <v xml:space="preserve">Watts  &lt;&lt;&lt;&gt;&gt;&gt; BTU/Hour </v>
      </c>
      <c r="W853" t="s">
        <v>229</v>
      </c>
      <c r="X853" t="s">
        <v>1142</v>
      </c>
      <c r="Y853">
        <v>3.4129</v>
      </c>
    </row>
    <row r="854" spans="22:25">
      <c r="V854" t="str">
        <f t="shared" si="13"/>
        <v xml:space="preserve">Watts  &lt;&lt;&lt;&gt;&gt;&gt; BTU/Minute </v>
      </c>
      <c r="W854" t="s">
        <v>229</v>
      </c>
      <c r="X854" t="s">
        <v>230</v>
      </c>
      <c r="Y854">
        <v>5.688E-2</v>
      </c>
    </row>
    <row r="855" spans="22:25">
      <c r="V855" t="str">
        <f t="shared" si="13"/>
        <v xml:space="preserve">Watts  &lt;&lt;&lt;&gt;&gt;&gt; Erg/Second </v>
      </c>
      <c r="W855" t="s">
        <v>229</v>
      </c>
      <c r="X855" t="s">
        <v>628</v>
      </c>
      <c r="Y855">
        <v>107</v>
      </c>
    </row>
    <row r="856" spans="22:25">
      <c r="V856" t="str">
        <f t="shared" si="13"/>
        <v xml:space="preserve">Watts  &lt;&lt;&lt;&gt;&gt;&gt; Foot-lbs/Minute </v>
      </c>
      <c r="W856" t="s">
        <v>229</v>
      </c>
      <c r="X856" t="s">
        <v>439</v>
      </c>
      <c r="Y856">
        <v>44.27</v>
      </c>
    </row>
    <row r="857" spans="22:25">
      <c r="V857" t="str">
        <f t="shared" si="13"/>
        <v xml:space="preserve">Watts  &lt;&lt;&lt;&gt;&gt;&gt; Foot-lbs/Second </v>
      </c>
      <c r="W857" t="s">
        <v>229</v>
      </c>
      <c r="X857" t="s">
        <v>231</v>
      </c>
      <c r="Y857">
        <v>0.73780000000000001</v>
      </c>
    </row>
    <row r="858" spans="22:25">
      <c r="V858" t="str">
        <f t="shared" si="13"/>
        <v xml:space="preserve">Watts  &lt;&lt;&lt;&gt;&gt;&gt; HorsePower </v>
      </c>
      <c r="W858" t="s">
        <v>229</v>
      </c>
      <c r="X858" t="s">
        <v>232</v>
      </c>
      <c r="Y858">
        <v>1.34E-3</v>
      </c>
    </row>
    <row r="859" spans="22:25">
      <c r="V859" t="str">
        <f t="shared" si="13"/>
        <v xml:space="preserve">Watts  &lt;&lt;&lt;&gt;&gt;&gt; HorsePower (metric) </v>
      </c>
      <c r="W859" t="s">
        <v>229</v>
      </c>
      <c r="X859" t="s">
        <v>442</v>
      </c>
      <c r="Y859">
        <v>1.3600000000000001E-3</v>
      </c>
    </row>
    <row r="860" spans="22:25">
      <c r="V860" t="str">
        <f t="shared" si="13"/>
        <v xml:space="preserve">Watts  &lt;&lt;&lt;&gt;&gt;&gt; Kilogram-Calories/Minute </v>
      </c>
      <c r="W860" t="s">
        <v>229</v>
      </c>
      <c r="X860" t="s">
        <v>440</v>
      </c>
      <c r="Y860">
        <v>1.4330000000000001E-2</v>
      </c>
    </row>
    <row r="861" spans="22:25">
      <c r="V861" t="str">
        <f t="shared" si="13"/>
        <v xml:space="preserve">Watts  &lt;&lt;&lt;&gt;&gt;&gt; Kilowatts </v>
      </c>
      <c r="W861" t="s">
        <v>229</v>
      </c>
      <c r="X861" t="s">
        <v>233</v>
      </c>
      <c r="Y861">
        <v>1E-3</v>
      </c>
    </row>
    <row r="862" spans="22:25">
      <c r="V862" t="str">
        <f t="shared" si="13"/>
        <v xml:space="preserve">Watts (absolute)  &lt;&lt;&lt;&gt;&gt;&gt; BTU (mean)/Minute </v>
      </c>
      <c r="W862" t="s">
        <v>629</v>
      </c>
      <c r="X862" t="s">
        <v>630</v>
      </c>
      <c r="Y862">
        <v>5.6883999999999997E-2</v>
      </c>
    </row>
    <row r="863" spans="22:25">
      <c r="V863" t="str">
        <f t="shared" si="13"/>
        <v xml:space="preserve">Watts (absolute)  &lt;&lt;&lt;&gt;&gt;&gt; Joules/Second </v>
      </c>
      <c r="W863" t="s">
        <v>629</v>
      </c>
      <c r="X863" t="s">
        <v>631</v>
      </c>
      <c r="Y863">
        <v>1</v>
      </c>
    </row>
    <row r="864" spans="22:25">
      <c r="V864" t="str">
        <f t="shared" si="13"/>
        <v xml:space="preserve">Week  &lt;&lt;&lt;&gt;&gt;&gt; Day </v>
      </c>
      <c r="W864" t="s">
        <v>632</v>
      </c>
      <c r="X864" t="s">
        <v>633</v>
      </c>
      <c r="Y864">
        <v>7</v>
      </c>
    </row>
    <row r="865" spans="22:25">
      <c r="V865" t="str">
        <f t="shared" si="13"/>
        <v xml:space="preserve">Week  &lt;&lt;&lt;&gt;&gt;&gt; Hour </v>
      </c>
      <c r="W865" t="s">
        <v>632</v>
      </c>
      <c r="X865" t="s">
        <v>634</v>
      </c>
      <c r="Y865">
        <v>168</v>
      </c>
    </row>
    <row r="866" spans="22:25">
      <c r="V866" t="str">
        <f t="shared" si="13"/>
        <v xml:space="preserve">Week  &lt;&lt;&lt;&gt;&gt;&gt; Minute (time) </v>
      </c>
      <c r="W866" t="s">
        <v>632</v>
      </c>
      <c r="X866" t="s">
        <v>635</v>
      </c>
      <c r="Y866">
        <v>10080</v>
      </c>
    </row>
    <row r="867" spans="22:25">
      <c r="V867" t="str">
        <f t="shared" si="13"/>
        <v xml:space="preserve">Week  &lt;&lt;&lt;&gt;&gt;&gt; Month </v>
      </c>
      <c r="W867" t="s">
        <v>632</v>
      </c>
      <c r="X867" t="s">
        <v>636</v>
      </c>
      <c r="Y867">
        <v>0.2299795</v>
      </c>
    </row>
    <row r="868" spans="22:25">
      <c r="V868" t="str">
        <f t="shared" si="13"/>
        <v xml:space="preserve">Week  &lt;&lt;&lt;&gt;&gt;&gt; Second </v>
      </c>
      <c r="W868" t="s">
        <v>632</v>
      </c>
      <c r="X868" t="s">
        <v>637</v>
      </c>
      <c r="Y868">
        <v>605000</v>
      </c>
    </row>
    <row r="869" spans="22:25">
      <c r="V869" t="str">
        <f t="shared" si="13"/>
        <v xml:space="preserve">Yards  &lt;&lt;&lt;&gt;&gt;&gt; Centimeters </v>
      </c>
      <c r="W869" t="s">
        <v>503</v>
      </c>
      <c r="X869" t="s">
        <v>496</v>
      </c>
      <c r="Y869">
        <v>91.44</v>
      </c>
    </row>
    <row r="870" spans="22:25">
      <c r="V870" t="str">
        <f t="shared" si="13"/>
        <v xml:space="preserve">Yards  &lt;&lt;&lt;&gt;&gt;&gt; fathom </v>
      </c>
      <c r="W870" t="s">
        <v>503</v>
      </c>
      <c r="X870" t="s">
        <v>638</v>
      </c>
      <c r="Y870">
        <v>0.5</v>
      </c>
    </row>
    <row r="871" spans="22:25">
      <c r="V871" t="str">
        <f t="shared" si="13"/>
        <v xml:space="preserve">Yards  &lt;&lt;&lt;&gt;&gt;&gt; Foot </v>
      </c>
      <c r="W871" t="s">
        <v>503</v>
      </c>
      <c r="X871" t="s">
        <v>639</v>
      </c>
      <c r="Y871">
        <v>3</v>
      </c>
    </row>
    <row r="872" spans="22:25">
      <c r="V872" t="str">
        <f t="shared" si="13"/>
        <v xml:space="preserve">Yards  &lt;&lt;&lt;&gt;&gt;&gt; Inches </v>
      </c>
      <c r="W872" t="s">
        <v>503</v>
      </c>
      <c r="X872" t="s">
        <v>498</v>
      </c>
      <c r="Y872">
        <v>36</v>
      </c>
    </row>
    <row r="873" spans="22:25">
      <c r="V873" t="str">
        <f t="shared" si="13"/>
        <v xml:space="preserve">Yards  &lt;&lt;&lt;&gt;&gt;&gt; Kilometers </v>
      </c>
      <c r="W873" t="s">
        <v>503</v>
      </c>
      <c r="X873" t="s">
        <v>494</v>
      </c>
      <c r="Y873">
        <v>9.1399999999999999E-4</v>
      </c>
    </row>
    <row r="874" spans="22:25">
      <c r="V874" t="str">
        <f t="shared" si="13"/>
        <v xml:space="preserve">Yards  &lt;&lt;&lt;&gt;&gt;&gt; Meters </v>
      </c>
      <c r="W874" t="s">
        <v>503</v>
      </c>
      <c r="X874" t="s">
        <v>500</v>
      </c>
      <c r="Y874">
        <v>0.91439999999999999</v>
      </c>
    </row>
    <row r="875" spans="22:25">
      <c r="V875" t="str">
        <f t="shared" si="13"/>
        <v xml:space="preserve">Yards  &lt;&lt;&lt;&gt;&gt;&gt; Miles (nautical) </v>
      </c>
      <c r="W875" t="s">
        <v>503</v>
      </c>
      <c r="X875" t="s">
        <v>537</v>
      </c>
      <c r="Y875">
        <v>4.9299999999999995E-4</v>
      </c>
    </row>
    <row r="876" spans="22:25">
      <c r="V876" t="str">
        <f t="shared" si="13"/>
        <v xml:space="preserve">Yards  &lt;&lt;&lt;&gt;&gt;&gt; Miles (statute) </v>
      </c>
      <c r="W876" t="s">
        <v>503</v>
      </c>
      <c r="X876" t="s">
        <v>538</v>
      </c>
      <c r="Y876">
        <v>5.6800000000000004E-4</v>
      </c>
    </row>
    <row r="877" spans="22:25">
      <c r="V877" t="str">
        <f t="shared" si="13"/>
        <v xml:space="preserve">Yards  &lt;&lt;&lt;&gt;&gt;&gt; Millimeters </v>
      </c>
      <c r="W877" t="s">
        <v>503</v>
      </c>
      <c r="X877" t="s">
        <v>502</v>
      </c>
      <c r="Y877">
        <v>914.4</v>
      </c>
    </row>
    <row r="878" spans="22:25">
      <c r="V878" t="str">
        <f t="shared" si="13"/>
        <v xml:space="preserve">Year (mean of 4 Year period) &lt;&lt;&lt;&gt;&gt;&gt; Day </v>
      </c>
      <c r="W878" t="s">
        <v>640</v>
      </c>
      <c r="X878" t="s">
        <v>633</v>
      </c>
      <c r="Y878">
        <v>365.25</v>
      </c>
    </row>
    <row r="879" spans="22:25">
      <c r="V879" t="str">
        <f t="shared" si="13"/>
        <v xml:space="preserve">Year (mean of 4 Year period) &lt;&lt;&lt;&gt;&gt;&gt; Hour </v>
      </c>
      <c r="W879" t="s">
        <v>640</v>
      </c>
      <c r="X879" t="s">
        <v>634</v>
      </c>
      <c r="Y879">
        <v>8766</v>
      </c>
    </row>
    <row r="880" spans="22:25">
      <c r="V880" t="str">
        <f t="shared" si="13"/>
        <v xml:space="preserve">Year (mean of 4 Year period) &lt;&lt;&lt;&gt;&gt;&gt; Minute </v>
      </c>
      <c r="W880" t="s">
        <v>640</v>
      </c>
      <c r="X880" t="s">
        <v>641</v>
      </c>
      <c r="Y880">
        <v>526000</v>
      </c>
    </row>
    <row r="881" spans="22:25">
      <c r="V881" t="str">
        <f t="shared" si="13"/>
        <v xml:space="preserve">Year (mean of 4 Year period) &lt;&lt;&lt;&gt;&gt;&gt; Second </v>
      </c>
      <c r="W881" t="s">
        <v>640</v>
      </c>
      <c r="X881" t="s">
        <v>637</v>
      </c>
      <c r="Y881">
        <v>31600000</v>
      </c>
    </row>
    <row r="882" spans="22:25">
      <c r="V882" t="str">
        <f t="shared" si="13"/>
        <v xml:space="preserve">Year (mean of 4 Year period) &lt;&lt;&lt;&gt;&gt;&gt; Week </v>
      </c>
      <c r="W882" t="s">
        <v>640</v>
      </c>
      <c r="X882" t="s">
        <v>632</v>
      </c>
      <c r="Y882">
        <v>52.178570000000001</v>
      </c>
    </row>
    <row r="883" spans="22:25">
      <c r="V883" t="str">
        <f t="shared" si="13"/>
        <v/>
      </c>
    </row>
    <row r="884" spans="22:25">
      <c r="V884" t="str">
        <f t="shared" si="13"/>
        <v/>
      </c>
    </row>
    <row r="885" spans="22:25">
      <c r="V885" t="str">
        <f t="shared" si="13"/>
        <v/>
      </c>
    </row>
    <row r="886" spans="22:25">
      <c r="V886" t="str">
        <f t="shared" si="13"/>
        <v/>
      </c>
    </row>
    <row r="887" spans="22:25">
      <c r="V887" t="str">
        <f t="shared" si="13"/>
        <v/>
      </c>
    </row>
    <row r="888" spans="22:25">
      <c r="V888" t="str">
        <f t="shared" si="13"/>
        <v/>
      </c>
    </row>
    <row r="889" spans="22:25">
      <c r="V889" t="str">
        <f t="shared" si="13"/>
        <v/>
      </c>
    </row>
    <row r="890" spans="22:25">
      <c r="V890" t="str">
        <f t="shared" si="13"/>
        <v/>
      </c>
    </row>
    <row r="891" spans="22:25">
      <c r="V891" t="str">
        <f t="shared" si="13"/>
        <v/>
      </c>
    </row>
    <row r="892" spans="22:25">
      <c r="V892" t="str">
        <f t="shared" si="13"/>
        <v/>
      </c>
    </row>
    <row r="893" spans="22:25">
      <c r="V893" t="str">
        <f t="shared" si="13"/>
        <v/>
      </c>
    </row>
    <row r="894" spans="22:25">
      <c r="V894" t="str">
        <f t="shared" si="13"/>
        <v/>
      </c>
    </row>
    <row r="895" spans="22:25">
      <c r="V895" t="str">
        <f t="shared" si="13"/>
        <v/>
      </c>
    </row>
    <row r="896" spans="22:25">
      <c r="V896" t="str">
        <f t="shared" si="13"/>
        <v/>
      </c>
    </row>
    <row r="897" spans="22:22">
      <c r="V897" t="str">
        <f t="shared" si="13"/>
        <v/>
      </c>
    </row>
    <row r="898" spans="22:22">
      <c r="V898" t="str">
        <f t="shared" si="13"/>
        <v/>
      </c>
    </row>
    <row r="899" spans="22:22">
      <c r="V899" t="str">
        <f t="shared" ref="V899:V962" si="14">IF(W899="","",W899&amp;" &lt;&lt;&lt;&gt;&gt;&gt; "&amp;X899)</f>
        <v/>
      </c>
    </row>
    <row r="900" spans="22:22">
      <c r="V900" t="str">
        <f t="shared" si="14"/>
        <v/>
      </c>
    </row>
    <row r="901" spans="22:22">
      <c r="V901" t="str">
        <f t="shared" si="14"/>
        <v/>
      </c>
    </row>
    <row r="902" spans="22:22">
      <c r="V902" t="str">
        <f t="shared" si="14"/>
        <v/>
      </c>
    </row>
    <row r="903" spans="22:22">
      <c r="V903" t="str">
        <f t="shared" si="14"/>
        <v/>
      </c>
    </row>
    <row r="904" spans="22:22">
      <c r="V904" t="str">
        <f t="shared" si="14"/>
        <v/>
      </c>
    </row>
    <row r="905" spans="22:22">
      <c r="V905" t="str">
        <f t="shared" si="14"/>
        <v/>
      </c>
    </row>
    <row r="906" spans="22:22">
      <c r="V906" t="str">
        <f t="shared" si="14"/>
        <v/>
      </c>
    </row>
    <row r="907" spans="22:22">
      <c r="V907" t="str">
        <f t="shared" si="14"/>
        <v/>
      </c>
    </row>
    <row r="908" spans="22:22">
      <c r="V908" t="str">
        <f t="shared" si="14"/>
        <v/>
      </c>
    </row>
    <row r="909" spans="22:22">
      <c r="V909" t="str">
        <f t="shared" si="14"/>
        <v/>
      </c>
    </row>
    <row r="910" spans="22:22">
      <c r="V910" t="str">
        <f t="shared" si="14"/>
        <v/>
      </c>
    </row>
    <row r="911" spans="22:22">
      <c r="V911" t="str">
        <f t="shared" si="14"/>
        <v/>
      </c>
    </row>
    <row r="912" spans="22:22">
      <c r="V912" t="str">
        <f t="shared" si="14"/>
        <v/>
      </c>
    </row>
    <row r="913" spans="22:22">
      <c r="V913" t="str">
        <f t="shared" si="14"/>
        <v/>
      </c>
    </row>
    <row r="914" spans="22:22">
      <c r="V914" t="str">
        <f t="shared" si="14"/>
        <v/>
      </c>
    </row>
    <row r="915" spans="22:22">
      <c r="V915" t="str">
        <f t="shared" si="14"/>
        <v/>
      </c>
    </row>
    <row r="916" spans="22:22">
      <c r="V916" t="str">
        <f t="shared" si="14"/>
        <v/>
      </c>
    </row>
    <row r="917" spans="22:22">
      <c r="V917" t="str">
        <f t="shared" si="14"/>
        <v/>
      </c>
    </row>
    <row r="918" spans="22:22">
      <c r="V918" t="str">
        <f t="shared" si="14"/>
        <v/>
      </c>
    </row>
    <row r="919" spans="22:22">
      <c r="V919" t="str">
        <f t="shared" si="14"/>
        <v/>
      </c>
    </row>
    <row r="920" spans="22:22">
      <c r="V920" t="str">
        <f t="shared" si="14"/>
        <v/>
      </c>
    </row>
    <row r="921" spans="22:22">
      <c r="V921" t="str">
        <f t="shared" si="14"/>
        <v/>
      </c>
    </row>
    <row r="922" spans="22:22">
      <c r="V922" t="str">
        <f t="shared" si="14"/>
        <v/>
      </c>
    </row>
    <row r="923" spans="22:22">
      <c r="V923" t="str">
        <f t="shared" si="14"/>
        <v/>
      </c>
    </row>
    <row r="924" spans="22:22">
      <c r="V924" t="str">
        <f t="shared" si="14"/>
        <v/>
      </c>
    </row>
    <row r="925" spans="22:22">
      <c r="V925" t="str">
        <f t="shared" si="14"/>
        <v/>
      </c>
    </row>
    <row r="926" spans="22:22">
      <c r="V926" t="str">
        <f t="shared" si="14"/>
        <v/>
      </c>
    </row>
    <row r="927" spans="22:22">
      <c r="V927" t="str">
        <f t="shared" si="14"/>
        <v/>
      </c>
    </row>
    <row r="928" spans="22:22">
      <c r="V928" t="str">
        <f t="shared" si="14"/>
        <v/>
      </c>
    </row>
    <row r="929" spans="22:22">
      <c r="V929" t="str">
        <f t="shared" si="14"/>
        <v/>
      </c>
    </row>
    <row r="930" spans="22:22">
      <c r="V930" t="str">
        <f t="shared" si="14"/>
        <v/>
      </c>
    </row>
    <row r="931" spans="22:22">
      <c r="V931" t="str">
        <f t="shared" si="14"/>
        <v/>
      </c>
    </row>
    <row r="932" spans="22:22">
      <c r="V932" t="str">
        <f t="shared" si="14"/>
        <v/>
      </c>
    </row>
    <row r="933" spans="22:22">
      <c r="V933" t="str">
        <f t="shared" si="14"/>
        <v/>
      </c>
    </row>
    <row r="934" spans="22:22">
      <c r="V934" t="str">
        <f t="shared" si="14"/>
        <v/>
      </c>
    </row>
    <row r="935" spans="22:22">
      <c r="V935" t="str">
        <f t="shared" si="14"/>
        <v/>
      </c>
    </row>
    <row r="936" spans="22:22">
      <c r="V936" t="str">
        <f t="shared" si="14"/>
        <v/>
      </c>
    </row>
    <row r="937" spans="22:22">
      <c r="V937" t="str">
        <f t="shared" si="14"/>
        <v/>
      </c>
    </row>
    <row r="938" spans="22:22">
      <c r="V938" t="str">
        <f t="shared" si="14"/>
        <v/>
      </c>
    </row>
    <row r="939" spans="22:22">
      <c r="V939" t="str">
        <f t="shared" si="14"/>
        <v/>
      </c>
    </row>
    <row r="940" spans="22:22">
      <c r="V940" t="str">
        <f t="shared" si="14"/>
        <v/>
      </c>
    </row>
    <row r="941" spans="22:22">
      <c r="V941" t="str">
        <f t="shared" si="14"/>
        <v/>
      </c>
    </row>
    <row r="942" spans="22:22">
      <c r="V942" t="str">
        <f t="shared" si="14"/>
        <v/>
      </c>
    </row>
    <row r="943" spans="22:22">
      <c r="V943" t="str">
        <f t="shared" si="14"/>
        <v/>
      </c>
    </row>
    <row r="944" spans="22:22">
      <c r="V944" t="str">
        <f t="shared" si="14"/>
        <v/>
      </c>
    </row>
    <row r="945" spans="22:22">
      <c r="V945" t="str">
        <f t="shared" si="14"/>
        <v/>
      </c>
    </row>
    <row r="946" spans="22:22">
      <c r="V946" t="str">
        <f t="shared" si="14"/>
        <v/>
      </c>
    </row>
    <row r="947" spans="22:22">
      <c r="V947" t="str">
        <f t="shared" si="14"/>
        <v/>
      </c>
    </row>
    <row r="948" spans="22:22">
      <c r="V948" t="str">
        <f t="shared" si="14"/>
        <v/>
      </c>
    </row>
    <row r="949" spans="22:22">
      <c r="V949" t="str">
        <f t="shared" si="14"/>
        <v/>
      </c>
    </row>
    <row r="950" spans="22:22">
      <c r="V950" t="str">
        <f t="shared" si="14"/>
        <v/>
      </c>
    </row>
    <row r="951" spans="22:22">
      <c r="V951" t="str">
        <f t="shared" si="14"/>
        <v/>
      </c>
    </row>
    <row r="952" spans="22:22">
      <c r="V952" t="str">
        <f t="shared" si="14"/>
        <v/>
      </c>
    </row>
    <row r="953" spans="22:22">
      <c r="V953" t="str">
        <f t="shared" si="14"/>
        <v/>
      </c>
    </row>
    <row r="954" spans="22:22">
      <c r="V954" t="str">
        <f t="shared" si="14"/>
        <v/>
      </c>
    </row>
    <row r="955" spans="22:22">
      <c r="V955" t="str">
        <f t="shared" si="14"/>
        <v/>
      </c>
    </row>
    <row r="956" spans="22:22">
      <c r="V956" t="str">
        <f t="shared" si="14"/>
        <v/>
      </c>
    </row>
    <row r="957" spans="22:22">
      <c r="V957" t="str">
        <f t="shared" si="14"/>
        <v/>
      </c>
    </row>
    <row r="958" spans="22:22">
      <c r="V958" t="str">
        <f t="shared" si="14"/>
        <v/>
      </c>
    </row>
    <row r="959" spans="22:22">
      <c r="V959" t="str">
        <f t="shared" si="14"/>
        <v/>
      </c>
    </row>
    <row r="960" spans="22:22">
      <c r="V960" t="str">
        <f t="shared" si="14"/>
        <v/>
      </c>
    </row>
    <row r="961" spans="22:22">
      <c r="V961" t="str">
        <f t="shared" si="14"/>
        <v/>
      </c>
    </row>
    <row r="962" spans="22:22">
      <c r="V962" t="str">
        <f t="shared" si="14"/>
        <v/>
      </c>
    </row>
    <row r="963" spans="22:22">
      <c r="V963" t="str">
        <f t="shared" ref="V963:V1026" si="15">IF(W963="","",W963&amp;" &lt;&lt;&lt;&gt;&gt;&gt; "&amp;X963)</f>
        <v/>
      </c>
    </row>
    <row r="964" spans="22:22">
      <c r="V964" t="str">
        <f t="shared" si="15"/>
        <v/>
      </c>
    </row>
    <row r="965" spans="22:22">
      <c r="V965" t="str">
        <f t="shared" si="15"/>
        <v/>
      </c>
    </row>
    <row r="966" spans="22:22">
      <c r="V966" t="str">
        <f t="shared" si="15"/>
        <v/>
      </c>
    </row>
    <row r="967" spans="22:22">
      <c r="V967" t="str">
        <f t="shared" si="15"/>
        <v/>
      </c>
    </row>
    <row r="968" spans="22:22">
      <c r="V968" t="str">
        <f t="shared" si="15"/>
        <v/>
      </c>
    </row>
    <row r="969" spans="22:22">
      <c r="V969" t="str">
        <f t="shared" si="15"/>
        <v/>
      </c>
    </row>
    <row r="970" spans="22:22">
      <c r="V970" t="str">
        <f t="shared" si="15"/>
        <v/>
      </c>
    </row>
    <row r="971" spans="22:22">
      <c r="V971" t="str">
        <f t="shared" si="15"/>
        <v/>
      </c>
    </row>
    <row r="972" spans="22:22">
      <c r="V972" t="str">
        <f t="shared" si="15"/>
        <v/>
      </c>
    </row>
    <row r="973" spans="22:22">
      <c r="V973" t="str">
        <f t="shared" si="15"/>
        <v/>
      </c>
    </row>
    <row r="974" spans="22:22">
      <c r="V974" t="str">
        <f t="shared" si="15"/>
        <v/>
      </c>
    </row>
    <row r="975" spans="22:22">
      <c r="V975" t="str">
        <f t="shared" si="15"/>
        <v/>
      </c>
    </row>
    <row r="976" spans="22:22">
      <c r="V976" t="str">
        <f t="shared" si="15"/>
        <v/>
      </c>
    </row>
    <row r="977" spans="22:22">
      <c r="V977" t="str">
        <f t="shared" si="15"/>
        <v/>
      </c>
    </row>
    <row r="978" spans="22:22">
      <c r="V978" t="str">
        <f t="shared" si="15"/>
        <v/>
      </c>
    </row>
    <row r="979" spans="22:22">
      <c r="V979" t="str">
        <f t="shared" si="15"/>
        <v/>
      </c>
    </row>
    <row r="980" spans="22:22">
      <c r="V980" t="str">
        <f t="shared" si="15"/>
        <v/>
      </c>
    </row>
    <row r="981" spans="22:22">
      <c r="V981" t="str">
        <f t="shared" si="15"/>
        <v/>
      </c>
    </row>
    <row r="982" spans="22:22">
      <c r="V982" t="str">
        <f t="shared" si="15"/>
        <v/>
      </c>
    </row>
    <row r="983" spans="22:22">
      <c r="V983" t="str">
        <f t="shared" si="15"/>
        <v/>
      </c>
    </row>
    <row r="984" spans="22:22">
      <c r="V984" t="str">
        <f t="shared" si="15"/>
        <v/>
      </c>
    </row>
    <row r="985" spans="22:22">
      <c r="V985" t="str">
        <f t="shared" si="15"/>
        <v/>
      </c>
    </row>
    <row r="986" spans="22:22">
      <c r="V986" t="str">
        <f t="shared" si="15"/>
        <v/>
      </c>
    </row>
    <row r="987" spans="22:22">
      <c r="V987" t="str">
        <f t="shared" si="15"/>
        <v/>
      </c>
    </row>
    <row r="988" spans="22:22">
      <c r="V988" t="str">
        <f t="shared" si="15"/>
        <v/>
      </c>
    </row>
    <row r="989" spans="22:22">
      <c r="V989" t="str">
        <f t="shared" si="15"/>
        <v/>
      </c>
    </row>
    <row r="990" spans="22:22">
      <c r="V990" t="str">
        <f t="shared" si="15"/>
        <v/>
      </c>
    </row>
    <row r="991" spans="22:22">
      <c r="V991" t="str">
        <f t="shared" si="15"/>
        <v/>
      </c>
    </row>
    <row r="992" spans="22:22">
      <c r="V992" t="str">
        <f t="shared" si="15"/>
        <v/>
      </c>
    </row>
    <row r="993" spans="22:22">
      <c r="V993" t="str">
        <f t="shared" si="15"/>
        <v/>
      </c>
    </row>
    <row r="994" spans="22:22">
      <c r="V994" t="str">
        <f t="shared" si="15"/>
        <v/>
      </c>
    </row>
    <row r="995" spans="22:22">
      <c r="V995" t="str">
        <f t="shared" si="15"/>
        <v/>
      </c>
    </row>
    <row r="996" spans="22:22">
      <c r="V996" t="str">
        <f t="shared" si="15"/>
        <v/>
      </c>
    </row>
    <row r="997" spans="22:22">
      <c r="V997" t="str">
        <f t="shared" si="15"/>
        <v/>
      </c>
    </row>
    <row r="998" spans="22:22">
      <c r="V998" t="str">
        <f t="shared" si="15"/>
        <v/>
      </c>
    </row>
    <row r="999" spans="22:22">
      <c r="V999" t="str">
        <f t="shared" si="15"/>
        <v/>
      </c>
    </row>
    <row r="1000" spans="22:22">
      <c r="V1000" t="str">
        <f t="shared" si="15"/>
        <v/>
      </c>
    </row>
    <row r="1001" spans="22:22">
      <c r="V1001" t="str">
        <f t="shared" si="15"/>
        <v/>
      </c>
    </row>
    <row r="1002" spans="22:22">
      <c r="V1002" t="str">
        <f t="shared" si="15"/>
        <v/>
      </c>
    </row>
    <row r="1003" spans="22:22">
      <c r="V1003" t="str">
        <f t="shared" si="15"/>
        <v/>
      </c>
    </row>
    <row r="1004" spans="22:22">
      <c r="V1004" t="str">
        <f t="shared" si="15"/>
        <v/>
      </c>
    </row>
    <row r="1005" spans="22:22">
      <c r="V1005" t="str">
        <f t="shared" si="15"/>
        <v/>
      </c>
    </row>
    <row r="1006" spans="22:22">
      <c r="V1006" t="str">
        <f t="shared" si="15"/>
        <v/>
      </c>
    </row>
    <row r="1007" spans="22:22">
      <c r="V1007" t="str">
        <f t="shared" si="15"/>
        <v/>
      </c>
    </row>
    <row r="1008" spans="22:22">
      <c r="V1008" t="str">
        <f t="shared" si="15"/>
        <v/>
      </c>
    </row>
    <row r="1009" spans="22:22">
      <c r="V1009" t="str">
        <f t="shared" si="15"/>
        <v/>
      </c>
    </row>
    <row r="1010" spans="22:22">
      <c r="V1010" t="str">
        <f t="shared" si="15"/>
        <v/>
      </c>
    </row>
    <row r="1011" spans="22:22">
      <c r="V1011" t="str">
        <f t="shared" si="15"/>
        <v/>
      </c>
    </row>
    <row r="1012" spans="22:22">
      <c r="V1012" t="str">
        <f t="shared" si="15"/>
        <v/>
      </c>
    </row>
    <row r="1013" spans="22:22">
      <c r="V1013" t="str">
        <f t="shared" si="15"/>
        <v/>
      </c>
    </row>
    <row r="1014" spans="22:22">
      <c r="V1014" t="str">
        <f t="shared" si="15"/>
        <v/>
      </c>
    </row>
    <row r="1015" spans="22:22">
      <c r="V1015" t="str">
        <f t="shared" si="15"/>
        <v/>
      </c>
    </row>
    <row r="1016" spans="22:22">
      <c r="V1016" t="str">
        <f t="shared" si="15"/>
        <v/>
      </c>
    </row>
    <row r="1017" spans="22:22">
      <c r="V1017" t="str">
        <f t="shared" si="15"/>
        <v/>
      </c>
    </row>
    <row r="1018" spans="22:22">
      <c r="V1018" t="str">
        <f t="shared" si="15"/>
        <v/>
      </c>
    </row>
    <row r="1019" spans="22:22">
      <c r="V1019" t="str">
        <f t="shared" si="15"/>
        <v/>
      </c>
    </row>
    <row r="1020" spans="22:22">
      <c r="V1020" t="str">
        <f t="shared" si="15"/>
        <v/>
      </c>
    </row>
    <row r="1021" spans="22:22">
      <c r="V1021" t="str">
        <f t="shared" si="15"/>
        <v/>
      </c>
    </row>
    <row r="1022" spans="22:22">
      <c r="V1022" t="str">
        <f t="shared" si="15"/>
        <v/>
      </c>
    </row>
    <row r="1023" spans="22:22">
      <c r="V1023" t="str">
        <f t="shared" si="15"/>
        <v/>
      </c>
    </row>
    <row r="1024" spans="22:22">
      <c r="V1024" t="str">
        <f t="shared" si="15"/>
        <v/>
      </c>
    </row>
    <row r="1025" spans="22:22">
      <c r="V1025" t="str">
        <f t="shared" si="15"/>
        <v/>
      </c>
    </row>
    <row r="1026" spans="22:22">
      <c r="V1026" t="str">
        <f t="shared" si="15"/>
        <v/>
      </c>
    </row>
    <row r="1027" spans="22:22">
      <c r="V1027" t="str">
        <f t="shared" ref="V1027:V1090" si="16">IF(W1027="","",W1027&amp;" &lt;&lt;&lt;&gt;&gt;&gt; "&amp;X1027)</f>
        <v/>
      </c>
    </row>
    <row r="1028" spans="22:22">
      <c r="V1028" t="str">
        <f t="shared" si="16"/>
        <v/>
      </c>
    </row>
    <row r="1029" spans="22:22">
      <c r="V1029" t="str">
        <f t="shared" si="16"/>
        <v/>
      </c>
    </row>
    <row r="1030" spans="22:22">
      <c r="V1030" t="str">
        <f t="shared" si="16"/>
        <v/>
      </c>
    </row>
    <row r="1031" spans="22:22">
      <c r="V1031" t="str">
        <f t="shared" si="16"/>
        <v/>
      </c>
    </row>
    <row r="1032" spans="22:22">
      <c r="V1032" t="str">
        <f t="shared" si="16"/>
        <v/>
      </c>
    </row>
    <row r="1033" spans="22:22">
      <c r="V1033" t="str">
        <f t="shared" si="16"/>
        <v/>
      </c>
    </row>
    <row r="1034" spans="22:22">
      <c r="V1034" t="str">
        <f t="shared" si="16"/>
        <v/>
      </c>
    </row>
    <row r="1035" spans="22:22">
      <c r="V1035" t="str">
        <f t="shared" si="16"/>
        <v/>
      </c>
    </row>
    <row r="1036" spans="22:22">
      <c r="V1036" t="str">
        <f t="shared" si="16"/>
        <v/>
      </c>
    </row>
    <row r="1037" spans="22:22">
      <c r="V1037" t="str">
        <f t="shared" si="16"/>
        <v/>
      </c>
    </row>
    <row r="1038" spans="22:22">
      <c r="V1038" t="str">
        <f t="shared" si="16"/>
        <v/>
      </c>
    </row>
    <row r="1039" spans="22:22">
      <c r="V1039" t="str">
        <f t="shared" si="16"/>
        <v/>
      </c>
    </row>
    <row r="1040" spans="22:22">
      <c r="V1040" t="str">
        <f t="shared" si="16"/>
        <v/>
      </c>
    </row>
    <row r="1041" spans="22:22">
      <c r="V1041" t="str">
        <f t="shared" si="16"/>
        <v/>
      </c>
    </row>
    <row r="1042" spans="22:22">
      <c r="V1042" t="str">
        <f t="shared" si="16"/>
        <v/>
      </c>
    </row>
    <row r="1043" spans="22:22">
      <c r="V1043" t="str">
        <f t="shared" si="16"/>
        <v/>
      </c>
    </row>
    <row r="1044" spans="22:22">
      <c r="V1044" t="str">
        <f t="shared" si="16"/>
        <v/>
      </c>
    </row>
    <row r="1045" spans="22:22">
      <c r="V1045" t="str">
        <f t="shared" si="16"/>
        <v/>
      </c>
    </row>
    <row r="1046" spans="22:22">
      <c r="V1046" t="str">
        <f t="shared" si="16"/>
        <v/>
      </c>
    </row>
    <row r="1047" spans="22:22">
      <c r="V1047" t="str">
        <f t="shared" si="16"/>
        <v/>
      </c>
    </row>
    <row r="1048" spans="22:22">
      <c r="V1048" t="str">
        <f t="shared" si="16"/>
        <v/>
      </c>
    </row>
    <row r="1049" spans="22:22">
      <c r="V1049" t="str">
        <f t="shared" si="16"/>
        <v/>
      </c>
    </row>
    <row r="1050" spans="22:22">
      <c r="V1050" t="str">
        <f t="shared" si="16"/>
        <v/>
      </c>
    </row>
    <row r="1051" spans="22:22">
      <c r="V1051" t="str">
        <f t="shared" si="16"/>
        <v/>
      </c>
    </row>
    <row r="1052" spans="22:22">
      <c r="V1052" t="str">
        <f t="shared" si="16"/>
        <v/>
      </c>
    </row>
    <row r="1053" spans="22:22">
      <c r="V1053" t="str">
        <f t="shared" si="16"/>
        <v/>
      </c>
    </row>
    <row r="1054" spans="22:22">
      <c r="V1054" t="str">
        <f t="shared" si="16"/>
        <v/>
      </c>
    </row>
    <row r="1055" spans="22:22">
      <c r="V1055" t="str">
        <f t="shared" si="16"/>
        <v/>
      </c>
    </row>
    <row r="1056" spans="22:22">
      <c r="V1056" t="str">
        <f t="shared" si="16"/>
        <v/>
      </c>
    </row>
    <row r="1057" spans="22:22">
      <c r="V1057" t="str">
        <f t="shared" si="16"/>
        <v/>
      </c>
    </row>
    <row r="1058" spans="22:22">
      <c r="V1058" t="str">
        <f t="shared" si="16"/>
        <v/>
      </c>
    </row>
    <row r="1059" spans="22:22">
      <c r="V1059" t="str">
        <f t="shared" si="16"/>
        <v/>
      </c>
    </row>
    <row r="1060" spans="22:22">
      <c r="V1060" t="str">
        <f t="shared" si="16"/>
        <v/>
      </c>
    </row>
    <row r="1061" spans="22:22">
      <c r="V1061" t="str">
        <f t="shared" si="16"/>
        <v/>
      </c>
    </row>
    <row r="1062" spans="22:22">
      <c r="V1062" t="str">
        <f t="shared" si="16"/>
        <v/>
      </c>
    </row>
    <row r="1063" spans="22:22">
      <c r="V1063" t="str">
        <f t="shared" si="16"/>
        <v/>
      </c>
    </row>
    <row r="1064" spans="22:22">
      <c r="V1064" t="str">
        <f t="shared" si="16"/>
        <v/>
      </c>
    </row>
    <row r="1065" spans="22:22">
      <c r="V1065" t="str">
        <f t="shared" si="16"/>
        <v/>
      </c>
    </row>
    <row r="1066" spans="22:22">
      <c r="V1066" t="str">
        <f t="shared" si="16"/>
        <v/>
      </c>
    </row>
    <row r="1067" spans="22:22">
      <c r="V1067" t="str">
        <f t="shared" si="16"/>
        <v/>
      </c>
    </row>
    <row r="1068" spans="22:22">
      <c r="V1068" t="str">
        <f t="shared" si="16"/>
        <v/>
      </c>
    </row>
    <row r="1069" spans="22:22">
      <c r="V1069" t="str">
        <f t="shared" si="16"/>
        <v/>
      </c>
    </row>
    <row r="1070" spans="22:22">
      <c r="V1070" t="str">
        <f t="shared" si="16"/>
        <v/>
      </c>
    </row>
    <row r="1071" spans="22:22">
      <c r="V1071" t="str">
        <f t="shared" si="16"/>
        <v/>
      </c>
    </row>
    <row r="1072" spans="22:22">
      <c r="V1072" t="str">
        <f t="shared" si="16"/>
        <v/>
      </c>
    </row>
    <row r="1073" spans="22:22">
      <c r="V1073" t="str">
        <f t="shared" si="16"/>
        <v/>
      </c>
    </row>
    <row r="1074" spans="22:22">
      <c r="V1074" t="str">
        <f t="shared" si="16"/>
        <v/>
      </c>
    </row>
    <row r="1075" spans="22:22">
      <c r="V1075" t="str">
        <f t="shared" si="16"/>
        <v/>
      </c>
    </row>
    <row r="1076" spans="22:22">
      <c r="V1076" t="str">
        <f t="shared" si="16"/>
        <v/>
      </c>
    </row>
    <row r="1077" spans="22:22">
      <c r="V1077" t="str">
        <f t="shared" si="16"/>
        <v/>
      </c>
    </row>
    <row r="1078" spans="22:22">
      <c r="V1078" t="str">
        <f t="shared" si="16"/>
        <v/>
      </c>
    </row>
    <row r="1079" spans="22:22">
      <c r="V1079" t="str">
        <f t="shared" si="16"/>
        <v/>
      </c>
    </row>
    <row r="1080" spans="22:22">
      <c r="V1080" t="str">
        <f t="shared" si="16"/>
        <v/>
      </c>
    </row>
    <row r="1081" spans="22:22">
      <c r="V1081" t="str">
        <f t="shared" si="16"/>
        <v/>
      </c>
    </row>
    <row r="1082" spans="22:22">
      <c r="V1082" t="str">
        <f t="shared" si="16"/>
        <v/>
      </c>
    </row>
    <row r="1083" spans="22:22">
      <c r="V1083" t="str">
        <f t="shared" si="16"/>
        <v/>
      </c>
    </row>
    <row r="1084" spans="22:22">
      <c r="V1084" t="str">
        <f t="shared" si="16"/>
        <v/>
      </c>
    </row>
    <row r="1085" spans="22:22">
      <c r="V1085" t="str">
        <f t="shared" si="16"/>
        <v/>
      </c>
    </row>
    <row r="1086" spans="22:22">
      <c r="V1086" t="str">
        <f t="shared" si="16"/>
        <v/>
      </c>
    </row>
    <row r="1087" spans="22:22">
      <c r="V1087" t="str">
        <f t="shared" si="16"/>
        <v/>
      </c>
    </row>
    <row r="1088" spans="22:22">
      <c r="V1088" t="str">
        <f t="shared" si="16"/>
        <v/>
      </c>
    </row>
    <row r="1089" spans="22:22">
      <c r="V1089" t="str">
        <f t="shared" si="16"/>
        <v/>
      </c>
    </row>
    <row r="1090" spans="22:22">
      <c r="V1090" t="str">
        <f t="shared" si="16"/>
        <v/>
      </c>
    </row>
    <row r="1091" spans="22:22">
      <c r="V1091" t="str">
        <f t="shared" ref="V1091:V1154" si="17">IF(W1091="","",W1091&amp;" &lt;&lt;&lt;&gt;&gt;&gt; "&amp;X1091)</f>
        <v/>
      </c>
    </row>
    <row r="1092" spans="22:22">
      <c r="V1092" t="str">
        <f t="shared" si="17"/>
        <v/>
      </c>
    </row>
    <row r="1093" spans="22:22">
      <c r="V1093" t="str">
        <f t="shared" si="17"/>
        <v/>
      </c>
    </row>
    <row r="1094" spans="22:22">
      <c r="V1094" t="str">
        <f t="shared" si="17"/>
        <v/>
      </c>
    </row>
    <row r="1095" spans="22:22">
      <c r="V1095" t="str">
        <f t="shared" si="17"/>
        <v/>
      </c>
    </row>
    <row r="1096" spans="22:22">
      <c r="V1096" t="str">
        <f t="shared" si="17"/>
        <v/>
      </c>
    </row>
    <row r="1097" spans="22:22">
      <c r="V1097" t="str">
        <f t="shared" si="17"/>
        <v/>
      </c>
    </row>
    <row r="1098" spans="22:22">
      <c r="V1098" t="str">
        <f t="shared" si="17"/>
        <v/>
      </c>
    </row>
    <row r="1099" spans="22:22">
      <c r="V1099" t="str">
        <f t="shared" si="17"/>
        <v/>
      </c>
    </row>
    <row r="1100" spans="22:22">
      <c r="V1100" t="str">
        <f t="shared" si="17"/>
        <v/>
      </c>
    </row>
    <row r="1101" spans="22:22">
      <c r="V1101" t="str">
        <f t="shared" si="17"/>
        <v/>
      </c>
    </row>
    <row r="1102" spans="22:22">
      <c r="V1102" t="str">
        <f t="shared" si="17"/>
        <v/>
      </c>
    </row>
    <row r="1103" spans="22:22">
      <c r="V1103" t="str">
        <f t="shared" si="17"/>
        <v/>
      </c>
    </row>
    <row r="1104" spans="22:22">
      <c r="V1104" t="str">
        <f t="shared" si="17"/>
        <v/>
      </c>
    </row>
    <row r="1105" spans="22:22">
      <c r="V1105" t="str">
        <f t="shared" si="17"/>
        <v/>
      </c>
    </row>
    <row r="1106" spans="22:22">
      <c r="V1106" t="str">
        <f t="shared" si="17"/>
        <v/>
      </c>
    </row>
    <row r="1107" spans="22:22">
      <c r="V1107" t="str">
        <f t="shared" si="17"/>
        <v/>
      </c>
    </row>
    <row r="1108" spans="22:22">
      <c r="V1108" t="str">
        <f t="shared" si="17"/>
        <v/>
      </c>
    </row>
    <row r="1109" spans="22:22">
      <c r="V1109" t="str">
        <f t="shared" si="17"/>
        <v/>
      </c>
    </row>
    <row r="1110" spans="22:22">
      <c r="V1110" t="str">
        <f t="shared" si="17"/>
        <v/>
      </c>
    </row>
    <row r="1111" spans="22:22">
      <c r="V1111" t="str">
        <f t="shared" si="17"/>
        <v/>
      </c>
    </row>
    <row r="1112" spans="22:22">
      <c r="V1112" t="str">
        <f t="shared" si="17"/>
        <v/>
      </c>
    </row>
    <row r="1113" spans="22:22">
      <c r="V1113" t="str">
        <f t="shared" si="17"/>
        <v/>
      </c>
    </row>
    <row r="1114" spans="22:22">
      <c r="V1114" t="str">
        <f t="shared" si="17"/>
        <v/>
      </c>
    </row>
    <row r="1115" spans="22:22">
      <c r="V1115" t="str">
        <f t="shared" si="17"/>
        <v/>
      </c>
    </row>
    <row r="1116" spans="22:22">
      <c r="V1116" t="str">
        <f t="shared" si="17"/>
        <v/>
      </c>
    </row>
    <row r="1117" spans="22:22">
      <c r="V1117" t="str">
        <f t="shared" si="17"/>
        <v/>
      </c>
    </row>
    <row r="1118" spans="22:22">
      <c r="V1118" t="str">
        <f t="shared" si="17"/>
        <v/>
      </c>
    </row>
    <row r="1119" spans="22:22">
      <c r="V1119" t="str">
        <f t="shared" si="17"/>
        <v/>
      </c>
    </row>
    <row r="1120" spans="22:22">
      <c r="V1120" t="str">
        <f t="shared" si="17"/>
        <v/>
      </c>
    </row>
    <row r="1121" spans="22:22">
      <c r="V1121" t="str">
        <f t="shared" si="17"/>
        <v/>
      </c>
    </row>
    <row r="1122" spans="22:22">
      <c r="V1122" t="str">
        <f t="shared" si="17"/>
        <v/>
      </c>
    </row>
    <row r="1123" spans="22:22">
      <c r="V1123" t="str">
        <f t="shared" si="17"/>
        <v/>
      </c>
    </row>
    <row r="1124" spans="22:22">
      <c r="V1124" t="str">
        <f t="shared" si="17"/>
        <v/>
      </c>
    </row>
    <row r="1125" spans="22:22">
      <c r="V1125" t="str">
        <f t="shared" si="17"/>
        <v/>
      </c>
    </row>
    <row r="1126" spans="22:22">
      <c r="V1126" t="str">
        <f t="shared" si="17"/>
        <v/>
      </c>
    </row>
    <row r="1127" spans="22:22">
      <c r="V1127" t="str">
        <f t="shared" si="17"/>
        <v/>
      </c>
    </row>
    <row r="1128" spans="22:22">
      <c r="V1128" t="str">
        <f t="shared" si="17"/>
        <v/>
      </c>
    </row>
    <row r="1129" spans="22:22">
      <c r="V1129" t="str">
        <f t="shared" si="17"/>
        <v/>
      </c>
    </row>
    <row r="1130" spans="22:22">
      <c r="V1130" t="str">
        <f t="shared" si="17"/>
        <v/>
      </c>
    </row>
    <row r="1131" spans="22:22">
      <c r="V1131" t="str">
        <f t="shared" si="17"/>
        <v/>
      </c>
    </row>
    <row r="1132" spans="22:22">
      <c r="V1132" t="str">
        <f t="shared" si="17"/>
        <v/>
      </c>
    </row>
    <row r="1133" spans="22:22">
      <c r="V1133" t="str">
        <f t="shared" si="17"/>
        <v/>
      </c>
    </row>
    <row r="1134" spans="22:22">
      <c r="V1134" t="str">
        <f t="shared" si="17"/>
        <v/>
      </c>
    </row>
    <row r="1135" spans="22:22">
      <c r="V1135" t="str">
        <f t="shared" si="17"/>
        <v/>
      </c>
    </row>
    <row r="1136" spans="22:22">
      <c r="V1136" t="str">
        <f t="shared" si="17"/>
        <v/>
      </c>
    </row>
    <row r="1137" spans="22:22">
      <c r="V1137" t="str">
        <f t="shared" si="17"/>
        <v/>
      </c>
    </row>
    <row r="1138" spans="22:22">
      <c r="V1138" t="str">
        <f t="shared" si="17"/>
        <v/>
      </c>
    </row>
    <row r="1139" spans="22:22">
      <c r="V1139" t="str">
        <f t="shared" si="17"/>
        <v/>
      </c>
    </row>
    <row r="1140" spans="22:22">
      <c r="V1140" t="str">
        <f t="shared" si="17"/>
        <v/>
      </c>
    </row>
    <row r="1141" spans="22:22">
      <c r="V1141" t="str">
        <f t="shared" si="17"/>
        <v/>
      </c>
    </row>
    <row r="1142" spans="22:22">
      <c r="V1142" t="str">
        <f t="shared" si="17"/>
        <v/>
      </c>
    </row>
    <row r="1143" spans="22:22">
      <c r="V1143" t="str">
        <f t="shared" si="17"/>
        <v/>
      </c>
    </row>
    <row r="1144" spans="22:22">
      <c r="V1144" t="str">
        <f t="shared" si="17"/>
        <v/>
      </c>
    </row>
    <row r="1145" spans="22:22">
      <c r="V1145" t="str">
        <f t="shared" si="17"/>
        <v/>
      </c>
    </row>
    <row r="1146" spans="22:22">
      <c r="V1146" t="str">
        <f t="shared" si="17"/>
        <v/>
      </c>
    </row>
    <row r="1147" spans="22:22">
      <c r="V1147" t="str">
        <f t="shared" si="17"/>
        <v/>
      </c>
    </row>
    <row r="1148" spans="22:22">
      <c r="V1148" t="str">
        <f t="shared" si="17"/>
        <v/>
      </c>
    </row>
    <row r="1149" spans="22:22">
      <c r="V1149" t="str">
        <f t="shared" si="17"/>
        <v/>
      </c>
    </row>
    <row r="1150" spans="22:22">
      <c r="V1150" t="str">
        <f t="shared" si="17"/>
        <v/>
      </c>
    </row>
    <row r="1151" spans="22:22">
      <c r="V1151" t="str">
        <f t="shared" si="17"/>
        <v/>
      </c>
    </row>
    <row r="1152" spans="22:22">
      <c r="V1152" t="str">
        <f t="shared" si="17"/>
        <v/>
      </c>
    </row>
    <row r="1153" spans="22:22">
      <c r="V1153" t="str">
        <f t="shared" si="17"/>
        <v/>
      </c>
    </row>
    <row r="1154" spans="22:22">
      <c r="V1154" t="str">
        <f t="shared" si="17"/>
        <v/>
      </c>
    </row>
    <row r="1155" spans="22:22">
      <c r="V1155" t="str">
        <f t="shared" ref="V1155:V1218" si="18">IF(W1155="","",W1155&amp;" &lt;&lt;&lt;&gt;&gt;&gt; "&amp;X1155)</f>
        <v/>
      </c>
    </row>
    <row r="1156" spans="22:22">
      <c r="V1156" t="str">
        <f t="shared" si="18"/>
        <v/>
      </c>
    </row>
    <row r="1157" spans="22:22">
      <c r="V1157" t="str">
        <f t="shared" si="18"/>
        <v/>
      </c>
    </row>
    <row r="1158" spans="22:22">
      <c r="V1158" t="str">
        <f t="shared" si="18"/>
        <v/>
      </c>
    </row>
    <row r="1159" spans="22:22">
      <c r="V1159" t="str">
        <f t="shared" si="18"/>
        <v/>
      </c>
    </row>
    <row r="1160" spans="22:22">
      <c r="V1160" t="str">
        <f t="shared" si="18"/>
        <v/>
      </c>
    </row>
    <row r="1161" spans="22:22">
      <c r="V1161" t="str">
        <f t="shared" si="18"/>
        <v/>
      </c>
    </row>
    <row r="1162" spans="22:22">
      <c r="V1162" t="str">
        <f t="shared" si="18"/>
        <v/>
      </c>
    </row>
    <row r="1163" spans="22:22">
      <c r="V1163" t="str">
        <f t="shared" si="18"/>
        <v/>
      </c>
    </row>
    <row r="1164" spans="22:22">
      <c r="V1164" t="str">
        <f t="shared" si="18"/>
        <v/>
      </c>
    </row>
    <row r="1165" spans="22:22">
      <c r="V1165" t="str">
        <f t="shared" si="18"/>
        <v/>
      </c>
    </row>
    <row r="1166" spans="22:22">
      <c r="V1166" t="str">
        <f t="shared" si="18"/>
        <v/>
      </c>
    </row>
    <row r="1167" spans="22:22">
      <c r="V1167" t="str">
        <f t="shared" si="18"/>
        <v/>
      </c>
    </row>
    <row r="1168" spans="22:22">
      <c r="V1168" t="str">
        <f t="shared" si="18"/>
        <v/>
      </c>
    </row>
    <row r="1169" spans="22:22">
      <c r="V1169" t="str">
        <f t="shared" si="18"/>
        <v/>
      </c>
    </row>
    <row r="1170" spans="22:22">
      <c r="V1170" t="str">
        <f t="shared" si="18"/>
        <v/>
      </c>
    </row>
    <row r="1171" spans="22:22">
      <c r="V1171" t="str">
        <f t="shared" si="18"/>
        <v/>
      </c>
    </row>
    <row r="1172" spans="22:22">
      <c r="V1172" t="str">
        <f t="shared" si="18"/>
        <v/>
      </c>
    </row>
    <row r="1173" spans="22:22">
      <c r="V1173" t="str">
        <f t="shared" si="18"/>
        <v/>
      </c>
    </row>
    <row r="1174" spans="22:22">
      <c r="V1174" t="str">
        <f t="shared" si="18"/>
        <v/>
      </c>
    </row>
    <row r="1175" spans="22:22">
      <c r="V1175" t="str">
        <f t="shared" si="18"/>
        <v/>
      </c>
    </row>
    <row r="1176" spans="22:22">
      <c r="V1176" t="str">
        <f t="shared" si="18"/>
        <v/>
      </c>
    </row>
    <row r="1177" spans="22:22">
      <c r="V1177" t="str">
        <f t="shared" si="18"/>
        <v/>
      </c>
    </row>
    <row r="1178" spans="22:22">
      <c r="V1178" t="str">
        <f t="shared" si="18"/>
        <v/>
      </c>
    </row>
    <row r="1179" spans="22:22">
      <c r="V1179" t="str">
        <f t="shared" si="18"/>
        <v/>
      </c>
    </row>
    <row r="1180" spans="22:22">
      <c r="V1180" t="str">
        <f t="shared" si="18"/>
        <v/>
      </c>
    </row>
    <row r="1181" spans="22:22">
      <c r="V1181" t="str">
        <f t="shared" si="18"/>
        <v/>
      </c>
    </row>
    <row r="1182" spans="22:22">
      <c r="V1182" t="str">
        <f t="shared" si="18"/>
        <v/>
      </c>
    </row>
    <row r="1183" spans="22:22">
      <c r="V1183" t="str">
        <f t="shared" si="18"/>
        <v/>
      </c>
    </row>
    <row r="1184" spans="22:22">
      <c r="V1184" t="str">
        <f t="shared" si="18"/>
        <v/>
      </c>
    </row>
    <row r="1185" spans="22:22">
      <c r="V1185" t="str">
        <f t="shared" si="18"/>
        <v/>
      </c>
    </row>
    <row r="1186" spans="22:22">
      <c r="V1186" t="str">
        <f t="shared" si="18"/>
        <v/>
      </c>
    </row>
    <row r="1187" spans="22:22">
      <c r="V1187" t="str">
        <f t="shared" si="18"/>
        <v/>
      </c>
    </row>
    <row r="1188" spans="22:22">
      <c r="V1188" t="str">
        <f t="shared" si="18"/>
        <v/>
      </c>
    </row>
    <row r="1189" spans="22:22">
      <c r="V1189" t="str">
        <f t="shared" si="18"/>
        <v/>
      </c>
    </row>
    <row r="1190" spans="22:22">
      <c r="V1190" t="str">
        <f t="shared" si="18"/>
        <v/>
      </c>
    </row>
    <row r="1191" spans="22:22">
      <c r="V1191" t="str">
        <f t="shared" si="18"/>
        <v/>
      </c>
    </row>
    <row r="1192" spans="22:22">
      <c r="V1192" t="str">
        <f t="shared" si="18"/>
        <v/>
      </c>
    </row>
    <row r="1193" spans="22:22">
      <c r="V1193" t="str">
        <f t="shared" si="18"/>
        <v/>
      </c>
    </row>
    <row r="1194" spans="22:22">
      <c r="V1194" t="str">
        <f t="shared" si="18"/>
        <v/>
      </c>
    </row>
    <row r="1195" spans="22:22">
      <c r="V1195" t="str">
        <f t="shared" si="18"/>
        <v/>
      </c>
    </row>
    <row r="1196" spans="22:22">
      <c r="V1196" t="str">
        <f t="shared" si="18"/>
        <v/>
      </c>
    </row>
    <row r="1197" spans="22:22">
      <c r="V1197" t="str">
        <f t="shared" si="18"/>
        <v/>
      </c>
    </row>
    <row r="1198" spans="22:22">
      <c r="V1198" t="str">
        <f t="shared" si="18"/>
        <v/>
      </c>
    </row>
    <row r="1199" spans="22:22">
      <c r="V1199" t="str">
        <f t="shared" si="18"/>
        <v/>
      </c>
    </row>
    <row r="1200" spans="22:22">
      <c r="V1200" t="str">
        <f t="shared" si="18"/>
        <v/>
      </c>
    </row>
    <row r="1201" spans="22:22">
      <c r="V1201" t="str">
        <f t="shared" si="18"/>
        <v/>
      </c>
    </row>
    <row r="1202" spans="22:22">
      <c r="V1202" t="str">
        <f t="shared" si="18"/>
        <v/>
      </c>
    </row>
    <row r="1203" spans="22:22">
      <c r="V1203" t="str">
        <f t="shared" si="18"/>
        <v/>
      </c>
    </row>
    <row r="1204" spans="22:22">
      <c r="V1204" t="str">
        <f t="shared" si="18"/>
        <v/>
      </c>
    </row>
    <row r="1205" spans="22:22">
      <c r="V1205" t="str">
        <f t="shared" si="18"/>
        <v/>
      </c>
    </row>
    <row r="1206" spans="22:22">
      <c r="V1206" t="str">
        <f t="shared" si="18"/>
        <v/>
      </c>
    </row>
    <row r="1207" spans="22:22">
      <c r="V1207" t="str">
        <f t="shared" si="18"/>
        <v/>
      </c>
    </row>
    <row r="1208" spans="22:22">
      <c r="V1208" t="str">
        <f t="shared" si="18"/>
        <v/>
      </c>
    </row>
    <row r="1209" spans="22:22">
      <c r="V1209" t="str">
        <f t="shared" si="18"/>
        <v/>
      </c>
    </row>
    <row r="1210" spans="22:22">
      <c r="V1210" t="str">
        <f t="shared" si="18"/>
        <v/>
      </c>
    </row>
    <row r="1211" spans="22:22">
      <c r="V1211" t="str">
        <f t="shared" si="18"/>
        <v/>
      </c>
    </row>
    <row r="1212" spans="22:22">
      <c r="V1212" t="str">
        <f t="shared" si="18"/>
        <v/>
      </c>
    </row>
    <row r="1213" spans="22:22">
      <c r="V1213" t="str">
        <f t="shared" si="18"/>
        <v/>
      </c>
    </row>
    <row r="1214" spans="22:22">
      <c r="V1214" t="str">
        <f t="shared" si="18"/>
        <v/>
      </c>
    </row>
    <row r="1215" spans="22:22">
      <c r="V1215" t="str">
        <f t="shared" si="18"/>
        <v/>
      </c>
    </row>
    <row r="1216" spans="22:22">
      <c r="V1216" t="str">
        <f t="shared" si="18"/>
        <v/>
      </c>
    </row>
    <row r="1217" spans="22:22">
      <c r="V1217" t="str">
        <f t="shared" si="18"/>
        <v/>
      </c>
    </row>
    <row r="1218" spans="22:22">
      <c r="V1218" t="str">
        <f t="shared" si="18"/>
        <v/>
      </c>
    </row>
    <row r="1219" spans="22:22">
      <c r="V1219" t="str">
        <f t="shared" ref="V1219:V1282" si="19">IF(W1219="","",W1219&amp;" &lt;&lt;&lt;&gt;&gt;&gt; "&amp;X1219)</f>
        <v/>
      </c>
    </row>
    <row r="1220" spans="22:22">
      <c r="V1220" t="str">
        <f t="shared" si="19"/>
        <v/>
      </c>
    </row>
    <row r="1221" spans="22:22">
      <c r="V1221" t="str">
        <f t="shared" si="19"/>
        <v/>
      </c>
    </row>
    <row r="1222" spans="22:22">
      <c r="V1222" t="str">
        <f t="shared" si="19"/>
        <v/>
      </c>
    </row>
    <row r="1223" spans="22:22">
      <c r="V1223" t="str">
        <f t="shared" si="19"/>
        <v/>
      </c>
    </row>
    <row r="1224" spans="22:22">
      <c r="V1224" t="str">
        <f t="shared" si="19"/>
        <v/>
      </c>
    </row>
    <row r="1225" spans="22:22">
      <c r="V1225" t="str">
        <f t="shared" si="19"/>
        <v/>
      </c>
    </row>
    <row r="1226" spans="22:22">
      <c r="V1226" t="str">
        <f t="shared" si="19"/>
        <v/>
      </c>
    </row>
    <row r="1227" spans="22:22">
      <c r="V1227" t="str">
        <f t="shared" si="19"/>
        <v/>
      </c>
    </row>
    <row r="1228" spans="22:22">
      <c r="V1228" t="str">
        <f t="shared" si="19"/>
        <v/>
      </c>
    </row>
    <row r="1229" spans="22:22">
      <c r="V1229" t="str">
        <f t="shared" si="19"/>
        <v/>
      </c>
    </row>
    <row r="1230" spans="22:22">
      <c r="V1230" t="str">
        <f t="shared" si="19"/>
        <v/>
      </c>
    </row>
    <row r="1231" spans="22:22">
      <c r="V1231" t="str">
        <f t="shared" si="19"/>
        <v/>
      </c>
    </row>
    <row r="1232" spans="22:22">
      <c r="V1232" t="str">
        <f t="shared" si="19"/>
        <v/>
      </c>
    </row>
    <row r="1233" spans="22:22">
      <c r="V1233" t="str">
        <f t="shared" si="19"/>
        <v/>
      </c>
    </row>
    <row r="1234" spans="22:22">
      <c r="V1234" t="str">
        <f t="shared" si="19"/>
        <v/>
      </c>
    </row>
    <row r="1235" spans="22:22">
      <c r="V1235" t="str">
        <f t="shared" si="19"/>
        <v/>
      </c>
    </row>
    <row r="1236" spans="22:22">
      <c r="V1236" t="str">
        <f t="shared" si="19"/>
        <v/>
      </c>
    </row>
    <row r="1237" spans="22:22">
      <c r="V1237" t="str">
        <f t="shared" si="19"/>
        <v/>
      </c>
    </row>
    <row r="1238" spans="22:22">
      <c r="V1238" t="str">
        <f t="shared" si="19"/>
        <v/>
      </c>
    </row>
    <row r="1239" spans="22:22">
      <c r="V1239" t="str">
        <f t="shared" si="19"/>
        <v/>
      </c>
    </row>
    <row r="1240" spans="22:22">
      <c r="V1240" t="str">
        <f t="shared" si="19"/>
        <v/>
      </c>
    </row>
    <row r="1241" spans="22:22">
      <c r="V1241" t="str">
        <f t="shared" si="19"/>
        <v/>
      </c>
    </row>
    <row r="1242" spans="22:22">
      <c r="V1242" t="str">
        <f t="shared" si="19"/>
        <v/>
      </c>
    </row>
    <row r="1243" spans="22:22">
      <c r="V1243" t="str">
        <f t="shared" si="19"/>
        <v/>
      </c>
    </row>
    <row r="1244" spans="22:22">
      <c r="V1244" t="str">
        <f t="shared" si="19"/>
        <v/>
      </c>
    </row>
    <row r="1245" spans="22:22">
      <c r="V1245" t="str">
        <f t="shared" si="19"/>
        <v/>
      </c>
    </row>
    <row r="1246" spans="22:22">
      <c r="V1246" t="str">
        <f t="shared" si="19"/>
        <v/>
      </c>
    </row>
    <row r="1247" spans="22:22">
      <c r="V1247" t="str">
        <f t="shared" si="19"/>
        <v/>
      </c>
    </row>
    <row r="1248" spans="22:22">
      <c r="V1248" t="str">
        <f t="shared" si="19"/>
        <v/>
      </c>
    </row>
    <row r="1249" spans="22:22">
      <c r="V1249" t="str">
        <f t="shared" si="19"/>
        <v/>
      </c>
    </row>
    <row r="1250" spans="22:22">
      <c r="V1250" t="str">
        <f t="shared" si="19"/>
        <v/>
      </c>
    </row>
    <row r="1251" spans="22:22">
      <c r="V1251" t="str">
        <f t="shared" si="19"/>
        <v/>
      </c>
    </row>
    <row r="1252" spans="22:22">
      <c r="V1252" t="str">
        <f t="shared" si="19"/>
        <v/>
      </c>
    </row>
    <row r="1253" spans="22:22">
      <c r="V1253" t="str">
        <f t="shared" si="19"/>
        <v/>
      </c>
    </row>
    <row r="1254" spans="22:22">
      <c r="V1254" t="str">
        <f t="shared" si="19"/>
        <v/>
      </c>
    </row>
    <row r="1255" spans="22:22">
      <c r="V1255" t="str">
        <f t="shared" si="19"/>
        <v/>
      </c>
    </row>
    <row r="1256" spans="22:22">
      <c r="V1256" t="str">
        <f t="shared" si="19"/>
        <v/>
      </c>
    </row>
    <row r="1257" spans="22:22">
      <c r="V1257" t="str">
        <f t="shared" si="19"/>
        <v/>
      </c>
    </row>
    <row r="1258" spans="22:22">
      <c r="V1258" t="str">
        <f t="shared" si="19"/>
        <v/>
      </c>
    </row>
    <row r="1259" spans="22:22">
      <c r="V1259" t="str">
        <f t="shared" si="19"/>
        <v/>
      </c>
    </row>
    <row r="1260" spans="22:22">
      <c r="V1260" t="str">
        <f t="shared" si="19"/>
        <v/>
      </c>
    </row>
    <row r="1261" spans="22:22">
      <c r="V1261" t="str">
        <f t="shared" si="19"/>
        <v/>
      </c>
    </row>
    <row r="1262" spans="22:22">
      <c r="V1262" t="str">
        <f t="shared" si="19"/>
        <v/>
      </c>
    </row>
    <row r="1263" spans="22:22">
      <c r="V1263" t="str">
        <f t="shared" si="19"/>
        <v/>
      </c>
    </row>
    <row r="1264" spans="22:22">
      <c r="V1264" t="str">
        <f t="shared" si="19"/>
        <v/>
      </c>
    </row>
    <row r="1265" spans="22:22">
      <c r="V1265" t="str">
        <f t="shared" si="19"/>
        <v/>
      </c>
    </row>
    <row r="1266" spans="22:22">
      <c r="V1266" t="str">
        <f t="shared" si="19"/>
        <v/>
      </c>
    </row>
    <row r="1267" spans="22:22">
      <c r="V1267" t="str">
        <f t="shared" si="19"/>
        <v/>
      </c>
    </row>
    <row r="1268" spans="22:22">
      <c r="V1268" t="str">
        <f t="shared" si="19"/>
        <v/>
      </c>
    </row>
    <row r="1269" spans="22:22">
      <c r="V1269" t="str">
        <f t="shared" si="19"/>
        <v/>
      </c>
    </row>
    <row r="1270" spans="22:22">
      <c r="V1270" t="str">
        <f t="shared" si="19"/>
        <v/>
      </c>
    </row>
    <row r="1271" spans="22:22">
      <c r="V1271" t="str">
        <f t="shared" si="19"/>
        <v/>
      </c>
    </row>
    <row r="1272" spans="22:22">
      <c r="V1272" t="str">
        <f t="shared" si="19"/>
        <v/>
      </c>
    </row>
    <row r="1273" spans="22:22">
      <c r="V1273" t="str">
        <f t="shared" si="19"/>
        <v/>
      </c>
    </row>
    <row r="1274" spans="22:22">
      <c r="V1274" t="str">
        <f t="shared" si="19"/>
        <v/>
      </c>
    </row>
    <row r="1275" spans="22:22">
      <c r="V1275" t="str">
        <f t="shared" si="19"/>
        <v/>
      </c>
    </row>
    <row r="1276" spans="22:22">
      <c r="V1276" t="str">
        <f t="shared" si="19"/>
        <v/>
      </c>
    </row>
    <row r="1277" spans="22:22">
      <c r="V1277" t="str">
        <f t="shared" si="19"/>
        <v/>
      </c>
    </row>
    <row r="1278" spans="22:22">
      <c r="V1278" t="str">
        <f t="shared" si="19"/>
        <v/>
      </c>
    </row>
    <row r="1279" spans="22:22">
      <c r="V1279" t="str">
        <f t="shared" si="19"/>
        <v/>
      </c>
    </row>
    <row r="1280" spans="22:22">
      <c r="V1280" t="str">
        <f t="shared" si="19"/>
        <v/>
      </c>
    </row>
    <row r="1281" spans="22:22">
      <c r="V1281" t="str">
        <f t="shared" si="19"/>
        <v/>
      </c>
    </row>
    <row r="1282" spans="22:22">
      <c r="V1282" t="str">
        <f t="shared" si="19"/>
        <v/>
      </c>
    </row>
    <row r="1283" spans="22:22">
      <c r="V1283" t="str">
        <f t="shared" ref="V1283:V1346" si="20">IF(W1283="","",W1283&amp;" &lt;&lt;&lt;&gt;&gt;&gt; "&amp;X1283)</f>
        <v/>
      </c>
    </row>
    <row r="1284" spans="22:22">
      <c r="V1284" t="str">
        <f t="shared" si="20"/>
        <v/>
      </c>
    </row>
    <row r="1285" spans="22:22">
      <c r="V1285" t="str">
        <f t="shared" si="20"/>
        <v/>
      </c>
    </row>
    <row r="1286" spans="22:22">
      <c r="V1286" t="str">
        <f t="shared" si="20"/>
        <v/>
      </c>
    </row>
    <row r="1287" spans="22:22">
      <c r="V1287" t="str">
        <f t="shared" si="20"/>
        <v/>
      </c>
    </row>
    <row r="1288" spans="22:22">
      <c r="V1288" t="str">
        <f t="shared" si="20"/>
        <v/>
      </c>
    </row>
    <row r="1289" spans="22:22">
      <c r="V1289" t="str">
        <f t="shared" si="20"/>
        <v/>
      </c>
    </row>
    <row r="1290" spans="22:22">
      <c r="V1290" t="str">
        <f t="shared" si="20"/>
        <v/>
      </c>
    </row>
    <row r="1291" spans="22:22">
      <c r="V1291" t="str">
        <f t="shared" si="20"/>
        <v/>
      </c>
    </row>
    <row r="1292" spans="22:22">
      <c r="V1292" t="str">
        <f t="shared" si="20"/>
        <v/>
      </c>
    </row>
    <row r="1293" spans="22:22">
      <c r="V1293" t="str">
        <f t="shared" si="20"/>
        <v/>
      </c>
    </row>
    <row r="1294" spans="22:22">
      <c r="V1294" t="str">
        <f t="shared" si="20"/>
        <v/>
      </c>
    </row>
    <row r="1295" spans="22:22">
      <c r="V1295" t="str">
        <f t="shared" si="20"/>
        <v/>
      </c>
    </row>
    <row r="1296" spans="22:22">
      <c r="V1296" t="str">
        <f t="shared" si="20"/>
        <v/>
      </c>
    </row>
    <row r="1297" spans="22:22">
      <c r="V1297" t="str">
        <f t="shared" si="20"/>
        <v/>
      </c>
    </row>
    <row r="1298" spans="22:22">
      <c r="V1298" t="str">
        <f t="shared" si="20"/>
        <v/>
      </c>
    </row>
    <row r="1299" spans="22:22">
      <c r="V1299" t="str">
        <f t="shared" si="20"/>
        <v/>
      </c>
    </row>
    <row r="1300" spans="22:22">
      <c r="V1300" t="str">
        <f t="shared" si="20"/>
        <v/>
      </c>
    </row>
    <row r="1301" spans="22:22">
      <c r="V1301" t="str">
        <f t="shared" si="20"/>
        <v/>
      </c>
    </row>
    <row r="1302" spans="22:22">
      <c r="V1302" t="str">
        <f t="shared" si="20"/>
        <v/>
      </c>
    </row>
    <row r="1303" spans="22:22">
      <c r="V1303" t="str">
        <f t="shared" si="20"/>
        <v/>
      </c>
    </row>
    <row r="1304" spans="22:22">
      <c r="V1304" t="str">
        <f t="shared" si="20"/>
        <v/>
      </c>
    </row>
    <row r="1305" spans="22:22">
      <c r="V1305" t="str">
        <f t="shared" si="20"/>
        <v/>
      </c>
    </row>
    <row r="1306" spans="22:22">
      <c r="V1306" t="str">
        <f t="shared" si="20"/>
        <v/>
      </c>
    </row>
    <row r="1307" spans="22:22">
      <c r="V1307" t="str">
        <f t="shared" si="20"/>
        <v/>
      </c>
    </row>
    <row r="1308" spans="22:22">
      <c r="V1308" t="str">
        <f t="shared" si="20"/>
        <v/>
      </c>
    </row>
    <row r="1309" spans="22:22">
      <c r="V1309" t="str">
        <f t="shared" si="20"/>
        <v/>
      </c>
    </row>
    <row r="1310" spans="22:22">
      <c r="V1310" t="str">
        <f t="shared" si="20"/>
        <v/>
      </c>
    </row>
    <row r="1311" spans="22:22">
      <c r="V1311" t="str">
        <f t="shared" si="20"/>
        <v/>
      </c>
    </row>
    <row r="1312" spans="22:22">
      <c r="V1312" t="str">
        <f t="shared" si="20"/>
        <v/>
      </c>
    </row>
    <row r="1313" spans="22:22">
      <c r="V1313" t="str">
        <f t="shared" si="20"/>
        <v/>
      </c>
    </row>
    <row r="1314" spans="22:22">
      <c r="V1314" t="str">
        <f t="shared" si="20"/>
        <v/>
      </c>
    </row>
    <row r="1315" spans="22:22">
      <c r="V1315" t="str">
        <f t="shared" si="20"/>
        <v/>
      </c>
    </row>
    <row r="1316" spans="22:22">
      <c r="V1316" t="str">
        <f t="shared" si="20"/>
        <v/>
      </c>
    </row>
    <row r="1317" spans="22:22">
      <c r="V1317" t="str">
        <f t="shared" si="20"/>
        <v/>
      </c>
    </row>
    <row r="1318" spans="22:22">
      <c r="V1318" t="str">
        <f t="shared" si="20"/>
        <v/>
      </c>
    </row>
    <row r="1319" spans="22:22">
      <c r="V1319" t="str">
        <f t="shared" si="20"/>
        <v/>
      </c>
    </row>
    <row r="1320" spans="22:22">
      <c r="V1320" t="str">
        <f t="shared" si="20"/>
        <v/>
      </c>
    </row>
    <row r="1321" spans="22:22">
      <c r="V1321" t="str">
        <f t="shared" si="20"/>
        <v/>
      </c>
    </row>
    <row r="1322" spans="22:22">
      <c r="V1322" t="str">
        <f t="shared" si="20"/>
        <v/>
      </c>
    </row>
    <row r="1323" spans="22:22">
      <c r="V1323" t="str">
        <f t="shared" si="20"/>
        <v/>
      </c>
    </row>
    <row r="1324" spans="22:22">
      <c r="V1324" t="str">
        <f t="shared" si="20"/>
        <v/>
      </c>
    </row>
    <row r="1325" spans="22:22">
      <c r="V1325" t="str">
        <f t="shared" si="20"/>
        <v/>
      </c>
    </row>
    <row r="1326" spans="22:22">
      <c r="V1326" t="str">
        <f t="shared" si="20"/>
        <v/>
      </c>
    </row>
    <row r="1327" spans="22:22">
      <c r="V1327" t="str">
        <f t="shared" si="20"/>
        <v/>
      </c>
    </row>
    <row r="1328" spans="22:22">
      <c r="V1328" t="str">
        <f t="shared" si="20"/>
        <v/>
      </c>
    </row>
    <row r="1329" spans="22:22">
      <c r="V1329" t="str">
        <f t="shared" si="20"/>
        <v/>
      </c>
    </row>
    <row r="1330" spans="22:22">
      <c r="V1330" t="str">
        <f t="shared" si="20"/>
        <v/>
      </c>
    </row>
    <row r="1331" spans="22:22">
      <c r="V1331" t="str">
        <f t="shared" si="20"/>
        <v/>
      </c>
    </row>
    <row r="1332" spans="22:22">
      <c r="V1332" t="str">
        <f t="shared" si="20"/>
        <v/>
      </c>
    </row>
    <row r="1333" spans="22:22">
      <c r="V1333" t="str">
        <f t="shared" si="20"/>
        <v/>
      </c>
    </row>
    <row r="1334" spans="22:22">
      <c r="V1334" t="str">
        <f t="shared" si="20"/>
        <v/>
      </c>
    </row>
    <row r="1335" spans="22:22">
      <c r="V1335" t="str">
        <f t="shared" si="20"/>
        <v/>
      </c>
    </row>
    <row r="1336" spans="22:22">
      <c r="V1336" t="str">
        <f t="shared" si="20"/>
        <v/>
      </c>
    </row>
    <row r="1337" spans="22:22">
      <c r="V1337" t="str">
        <f t="shared" si="20"/>
        <v/>
      </c>
    </row>
    <row r="1338" spans="22:22">
      <c r="V1338" t="str">
        <f t="shared" si="20"/>
        <v/>
      </c>
    </row>
    <row r="1339" spans="22:22">
      <c r="V1339" t="str">
        <f t="shared" si="20"/>
        <v/>
      </c>
    </row>
    <row r="1340" spans="22:22">
      <c r="V1340" t="str">
        <f t="shared" si="20"/>
        <v/>
      </c>
    </row>
    <row r="1341" spans="22:22">
      <c r="V1341" t="str">
        <f t="shared" si="20"/>
        <v/>
      </c>
    </row>
    <row r="1342" spans="22:22">
      <c r="V1342" t="str">
        <f t="shared" si="20"/>
        <v/>
      </c>
    </row>
    <row r="1343" spans="22:22">
      <c r="V1343" t="str">
        <f t="shared" si="20"/>
        <v/>
      </c>
    </row>
    <row r="1344" spans="22:22">
      <c r="V1344" t="str">
        <f t="shared" si="20"/>
        <v/>
      </c>
    </row>
    <row r="1345" spans="22:22">
      <c r="V1345" t="str">
        <f t="shared" si="20"/>
        <v/>
      </c>
    </row>
    <row r="1346" spans="22:22">
      <c r="V1346" t="str">
        <f t="shared" si="20"/>
        <v/>
      </c>
    </row>
    <row r="1347" spans="22:22">
      <c r="V1347" t="str">
        <f t="shared" ref="V1347:V1410" si="21">IF(W1347="","",W1347&amp;" &lt;&lt;&lt;&gt;&gt;&gt; "&amp;X1347)</f>
        <v/>
      </c>
    </row>
    <row r="1348" spans="22:22">
      <c r="V1348" t="str">
        <f t="shared" si="21"/>
        <v/>
      </c>
    </row>
    <row r="1349" spans="22:22">
      <c r="V1349" t="str">
        <f t="shared" si="21"/>
        <v/>
      </c>
    </row>
    <row r="1350" spans="22:22">
      <c r="V1350" t="str">
        <f t="shared" si="21"/>
        <v/>
      </c>
    </row>
    <row r="1351" spans="22:22">
      <c r="V1351" t="str">
        <f t="shared" si="21"/>
        <v/>
      </c>
    </row>
    <row r="1352" spans="22:22">
      <c r="V1352" t="str">
        <f t="shared" si="21"/>
        <v/>
      </c>
    </row>
    <row r="1353" spans="22:22">
      <c r="V1353" t="str">
        <f t="shared" si="21"/>
        <v/>
      </c>
    </row>
    <row r="1354" spans="22:22">
      <c r="V1354" t="str">
        <f t="shared" si="21"/>
        <v/>
      </c>
    </row>
    <row r="1355" spans="22:22">
      <c r="V1355" t="str">
        <f t="shared" si="21"/>
        <v/>
      </c>
    </row>
    <row r="1356" spans="22:22">
      <c r="V1356" t="str">
        <f t="shared" si="21"/>
        <v/>
      </c>
    </row>
    <row r="1357" spans="22:22">
      <c r="V1357" t="str">
        <f t="shared" si="21"/>
        <v/>
      </c>
    </row>
    <row r="1358" spans="22:22">
      <c r="V1358" t="str">
        <f t="shared" si="21"/>
        <v/>
      </c>
    </row>
    <row r="1359" spans="22:22">
      <c r="V1359" t="str">
        <f t="shared" si="21"/>
        <v/>
      </c>
    </row>
    <row r="1360" spans="22:22">
      <c r="V1360" t="str">
        <f t="shared" si="21"/>
        <v/>
      </c>
    </row>
    <row r="1361" spans="22:22">
      <c r="V1361" t="str">
        <f t="shared" si="21"/>
        <v/>
      </c>
    </row>
    <row r="1362" spans="22:22">
      <c r="V1362" t="str">
        <f t="shared" si="21"/>
        <v/>
      </c>
    </row>
    <row r="1363" spans="22:22">
      <c r="V1363" t="str">
        <f t="shared" si="21"/>
        <v/>
      </c>
    </row>
    <row r="1364" spans="22:22">
      <c r="V1364" t="str">
        <f t="shared" si="21"/>
        <v/>
      </c>
    </row>
    <row r="1365" spans="22:22">
      <c r="V1365" t="str">
        <f t="shared" si="21"/>
        <v/>
      </c>
    </row>
    <row r="1366" spans="22:22">
      <c r="V1366" t="str">
        <f t="shared" si="21"/>
        <v/>
      </c>
    </row>
    <row r="1367" spans="22:22">
      <c r="V1367" t="str">
        <f t="shared" si="21"/>
        <v/>
      </c>
    </row>
    <row r="1368" spans="22:22">
      <c r="V1368" t="str">
        <f t="shared" si="21"/>
        <v/>
      </c>
    </row>
    <row r="1369" spans="22:22">
      <c r="V1369" t="str">
        <f t="shared" si="21"/>
        <v/>
      </c>
    </row>
    <row r="1370" spans="22:22">
      <c r="V1370" t="str">
        <f t="shared" si="21"/>
        <v/>
      </c>
    </row>
    <row r="1371" spans="22:22">
      <c r="V1371" t="str">
        <f t="shared" si="21"/>
        <v/>
      </c>
    </row>
    <row r="1372" spans="22:22">
      <c r="V1372" t="str">
        <f t="shared" si="21"/>
        <v/>
      </c>
    </row>
    <row r="1373" spans="22:22">
      <c r="V1373" t="str">
        <f t="shared" si="21"/>
        <v/>
      </c>
    </row>
    <row r="1374" spans="22:22">
      <c r="V1374" t="str">
        <f t="shared" si="21"/>
        <v/>
      </c>
    </row>
    <row r="1375" spans="22:22">
      <c r="V1375" t="str">
        <f t="shared" si="21"/>
        <v/>
      </c>
    </row>
    <row r="1376" spans="22:22">
      <c r="V1376" t="str">
        <f t="shared" si="21"/>
        <v/>
      </c>
    </row>
    <row r="1377" spans="22:22">
      <c r="V1377" t="str">
        <f t="shared" si="21"/>
        <v/>
      </c>
    </row>
    <row r="1378" spans="22:22">
      <c r="V1378" t="str">
        <f t="shared" si="21"/>
        <v/>
      </c>
    </row>
    <row r="1379" spans="22:22">
      <c r="V1379" t="str">
        <f t="shared" si="21"/>
        <v/>
      </c>
    </row>
    <row r="1380" spans="22:22">
      <c r="V1380" t="str">
        <f t="shared" si="21"/>
        <v/>
      </c>
    </row>
    <row r="1381" spans="22:22">
      <c r="V1381" t="str">
        <f t="shared" si="21"/>
        <v/>
      </c>
    </row>
    <row r="1382" spans="22:22">
      <c r="V1382" t="str">
        <f t="shared" si="21"/>
        <v/>
      </c>
    </row>
    <row r="1383" spans="22:22">
      <c r="V1383" t="str">
        <f t="shared" si="21"/>
        <v/>
      </c>
    </row>
    <row r="1384" spans="22:22">
      <c r="V1384" t="str">
        <f t="shared" si="21"/>
        <v/>
      </c>
    </row>
    <row r="1385" spans="22:22">
      <c r="V1385" t="str">
        <f t="shared" si="21"/>
        <v/>
      </c>
    </row>
    <row r="1386" spans="22:22">
      <c r="V1386" t="str">
        <f t="shared" si="21"/>
        <v/>
      </c>
    </row>
    <row r="1387" spans="22:22">
      <c r="V1387" t="str">
        <f t="shared" si="21"/>
        <v/>
      </c>
    </row>
    <row r="1388" spans="22:22">
      <c r="V1388" t="str">
        <f t="shared" si="21"/>
        <v/>
      </c>
    </row>
    <row r="1389" spans="22:22">
      <c r="V1389" t="str">
        <f t="shared" si="21"/>
        <v/>
      </c>
    </row>
    <row r="1390" spans="22:22">
      <c r="V1390" t="str">
        <f t="shared" si="21"/>
        <v/>
      </c>
    </row>
    <row r="1391" spans="22:22">
      <c r="V1391" t="str">
        <f t="shared" si="21"/>
        <v/>
      </c>
    </row>
    <row r="1392" spans="22:22">
      <c r="V1392" t="str">
        <f t="shared" si="21"/>
        <v/>
      </c>
    </row>
    <row r="1393" spans="22:22">
      <c r="V1393" t="str">
        <f t="shared" si="21"/>
        <v/>
      </c>
    </row>
    <row r="1394" spans="22:22">
      <c r="V1394" t="str">
        <f t="shared" si="21"/>
        <v/>
      </c>
    </row>
    <row r="1395" spans="22:22">
      <c r="V1395" t="str">
        <f t="shared" si="21"/>
        <v/>
      </c>
    </row>
    <row r="1396" spans="22:22">
      <c r="V1396" t="str">
        <f t="shared" si="21"/>
        <v/>
      </c>
    </row>
    <row r="1397" spans="22:22">
      <c r="V1397" t="str">
        <f t="shared" si="21"/>
        <v/>
      </c>
    </row>
    <row r="1398" spans="22:22">
      <c r="V1398" t="str">
        <f t="shared" si="21"/>
        <v/>
      </c>
    </row>
    <row r="1399" spans="22:22">
      <c r="V1399" t="str">
        <f t="shared" si="21"/>
        <v/>
      </c>
    </row>
    <row r="1400" spans="22:22">
      <c r="V1400" t="str">
        <f t="shared" si="21"/>
        <v/>
      </c>
    </row>
    <row r="1401" spans="22:22">
      <c r="V1401" t="str">
        <f t="shared" si="21"/>
        <v/>
      </c>
    </row>
    <row r="1402" spans="22:22">
      <c r="V1402" t="str">
        <f t="shared" si="21"/>
        <v/>
      </c>
    </row>
    <row r="1403" spans="22:22">
      <c r="V1403" t="str">
        <f t="shared" si="21"/>
        <v/>
      </c>
    </row>
    <row r="1404" spans="22:22">
      <c r="V1404" t="str">
        <f t="shared" si="21"/>
        <v/>
      </c>
    </row>
    <row r="1405" spans="22:22">
      <c r="V1405" t="str">
        <f t="shared" si="21"/>
        <v/>
      </c>
    </row>
    <row r="1406" spans="22:22">
      <c r="V1406" t="str">
        <f t="shared" si="21"/>
        <v/>
      </c>
    </row>
    <row r="1407" spans="22:22">
      <c r="V1407" t="str">
        <f t="shared" si="21"/>
        <v/>
      </c>
    </row>
    <row r="1408" spans="22:22">
      <c r="V1408" t="str">
        <f t="shared" si="21"/>
        <v/>
      </c>
    </row>
    <row r="1409" spans="22:22">
      <c r="V1409" t="str">
        <f t="shared" si="21"/>
        <v/>
      </c>
    </row>
    <row r="1410" spans="22:22">
      <c r="V1410" t="str">
        <f t="shared" si="21"/>
        <v/>
      </c>
    </row>
    <row r="1411" spans="22:22">
      <c r="V1411" t="str">
        <f t="shared" ref="V1411:V1474" si="22">IF(W1411="","",W1411&amp;" &lt;&lt;&lt;&gt;&gt;&gt; "&amp;X1411)</f>
        <v/>
      </c>
    </row>
    <row r="1412" spans="22:22">
      <c r="V1412" t="str">
        <f t="shared" si="22"/>
        <v/>
      </c>
    </row>
    <row r="1413" spans="22:22">
      <c r="V1413" t="str">
        <f t="shared" si="22"/>
        <v/>
      </c>
    </row>
    <row r="1414" spans="22:22">
      <c r="V1414" t="str">
        <f t="shared" si="22"/>
        <v/>
      </c>
    </row>
    <row r="1415" spans="22:22">
      <c r="V1415" t="str">
        <f t="shared" si="22"/>
        <v/>
      </c>
    </row>
    <row r="1416" spans="22:22">
      <c r="V1416" t="str">
        <f t="shared" si="22"/>
        <v/>
      </c>
    </row>
    <row r="1417" spans="22:22">
      <c r="V1417" t="str">
        <f t="shared" si="22"/>
        <v/>
      </c>
    </row>
    <row r="1418" spans="22:22">
      <c r="V1418" t="str">
        <f t="shared" si="22"/>
        <v/>
      </c>
    </row>
    <row r="1419" spans="22:22">
      <c r="V1419" t="str">
        <f t="shared" si="22"/>
        <v/>
      </c>
    </row>
    <row r="1420" spans="22:22">
      <c r="V1420" t="str">
        <f t="shared" si="22"/>
        <v/>
      </c>
    </row>
    <row r="1421" spans="22:22">
      <c r="V1421" t="str">
        <f t="shared" si="22"/>
        <v/>
      </c>
    </row>
    <row r="1422" spans="22:22">
      <c r="V1422" t="str">
        <f t="shared" si="22"/>
        <v/>
      </c>
    </row>
    <row r="1423" spans="22:22">
      <c r="V1423" t="str">
        <f t="shared" si="22"/>
        <v/>
      </c>
    </row>
    <row r="1424" spans="22:22">
      <c r="V1424" t="str">
        <f t="shared" si="22"/>
        <v/>
      </c>
    </row>
    <row r="1425" spans="22:22">
      <c r="V1425" t="str">
        <f t="shared" si="22"/>
        <v/>
      </c>
    </row>
    <row r="1426" spans="22:22">
      <c r="V1426" t="str">
        <f t="shared" si="22"/>
        <v/>
      </c>
    </row>
    <row r="1427" spans="22:22">
      <c r="V1427" t="str">
        <f t="shared" si="22"/>
        <v/>
      </c>
    </row>
    <row r="1428" spans="22:22">
      <c r="V1428" t="str">
        <f t="shared" si="22"/>
        <v/>
      </c>
    </row>
    <row r="1429" spans="22:22">
      <c r="V1429" t="str">
        <f t="shared" si="22"/>
        <v/>
      </c>
    </row>
    <row r="1430" spans="22:22">
      <c r="V1430" t="str">
        <f t="shared" si="22"/>
        <v/>
      </c>
    </row>
    <row r="1431" spans="22:22">
      <c r="V1431" t="str">
        <f t="shared" si="22"/>
        <v/>
      </c>
    </row>
    <row r="1432" spans="22:22">
      <c r="V1432" t="str">
        <f t="shared" si="22"/>
        <v/>
      </c>
    </row>
    <row r="1433" spans="22:22">
      <c r="V1433" t="str">
        <f t="shared" si="22"/>
        <v/>
      </c>
    </row>
    <row r="1434" spans="22:22">
      <c r="V1434" t="str">
        <f t="shared" si="22"/>
        <v/>
      </c>
    </row>
    <row r="1435" spans="22:22">
      <c r="V1435" t="str">
        <f t="shared" si="22"/>
        <v/>
      </c>
    </row>
    <row r="1436" spans="22:22">
      <c r="V1436" t="str">
        <f t="shared" si="22"/>
        <v/>
      </c>
    </row>
    <row r="1437" spans="22:22">
      <c r="V1437" t="str">
        <f t="shared" si="22"/>
        <v/>
      </c>
    </row>
    <row r="1438" spans="22:22">
      <c r="V1438" t="str">
        <f t="shared" si="22"/>
        <v/>
      </c>
    </row>
    <row r="1439" spans="22:22">
      <c r="V1439" t="str">
        <f t="shared" si="22"/>
        <v/>
      </c>
    </row>
    <row r="1440" spans="22:22">
      <c r="V1440" t="str">
        <f t="shared" si="22"/>
        <v/>
      </c>
    </row>
    <row r="1441" spans="22:22">
      <c r="V1441" t="str">
        <f t="shared" si="22"/>
        <v/>
      </c>
    </row>
    <row r="1442" spans="22:22">
      <c r="V1442" t="str">
        <f t="shared" si="22"/>
        <v/>
      </c>
    </row>
    <row r="1443" spans="22:22">
      <c r="V1443" t="str">
        <f t="shared" si="22"/>
        <v/>
      </c>
    </row>
    <row r="1444" spans="22:22">
      <c r="V1444" t="str">
        <f t="shared" si="22"/>
        <v/>
      </c>
    </row>
    <row r="1445" spans="22:22">
      <c r="V1445" t="str">
        <f t="shared" si="22"/>
        <v/>
      </c>
    </row>
    <row r="1446" spans="22:22">
      <c r="V1446" t="str">
        <f t="shared" si="22"/>
        <v/>
      </c>
    </row>
    <row r="1447" spans="22:22">
      <c r="V1447" t="str">
        <f t="shared" si="22"/>
        <v/>
      </c>
    </row>
    <row r="1448" spans="22:22">
      <c r="V1448" t="str">
        <f t="shared" si="22"/>
        <v/>
      </c>
    </row>
    <row r="1449" spans="22:22">
      <c r="V1449" t="str">
        <f t="shared" si="22"/>
        <v/>
      </c>
    </row>
    <row r="1450" spans="22:22">
      <c r="V1450" t="str">
        <f t="shared" si="22"/>
        <v/>
      </c>
    </row>
    <row r="1451" spans="22:22">
      <c r="V1451" t="str">
        <f t="shared" si="22"/>
        <v/>
      </c>
    </row>
    <row r="1452" spans="22:22">
      <c r="V1452" t="str">
        <f t="shared" si="22"/>
        <v/>
      </c>
    </row>
    <row r="1453" spans="22:22">
      <c r="V1453" t="str">
        <f t="shared" si="22"/>
        <v/>
      </c>
    </row>
    <row r="1454" spans="22:22">
      <c r="V1454" t="str">
        <f t="shared" si="22"/>
        <v/>
      </c>
    </row>
    <row r="1455" spans="22:22">
      <c r="V1455" t="str">
        <f t="shared" si="22"/>
        <v/>
      </c>
    </row>
    <row r="1456" spans="22:22">
      <c r="V1456" t="str">
        <f t="shared" si="22"/>
        <v/>
      </c>
    </row>
    <row r="1457" spans="22:22">
      <c r="V1457" t="str">
        <f t="shared" si="22"/>
        <v/>
      </c>
    </row>
    <row r="1458" spans="22:22">
      <c r="V1458" t="str">
        <f t="shared" si="22"/>
        <v/>
      </c>
    </row>
    <row r="1459" spans="22:22">
      <c r="V1459" t="str">
        <f t="shared" si="22"/>
        <v/>
      </c>
    </row>
    <row r="1460" spans="22:22">
      <c r="V1460" t="str">
        <f t="shared" si="22"/>
        <v/>
      </c>
    </row>
    <row r="1461" spans="22:22">
      <c r="V1461" t="str">
        <f t="shared" si="22"/>
        <v/>
      </c>
    </row>
    <row r="1462" spans="22:22">
      <c r="V1462" t="str">
        <f t="shared" si="22"/>
        <v/>
      </c>
    </row>
    <row r="1463" spans="22:22">
      <c r="V1463" t="str">
        <f t="shared" si="22"/>
        <v/>
      </c>
    </row>
    <row r="1464" spans="22:22">
      <c r="V1464" t="str">
        <f t="shared" si="22"/>
        <v/>
      </c>
    </row>
    <row r="1465" spans="22:22">
      <c r="V1465" t="str">
        <f t="shared" si="22"/>
        <v/>
      </c>
    </row>
    <row r="1466" spans="22:22">
      <c r="V1466" t="str">
        <f t="shared" si="22"/>
        <v/>
      </c>
    </row>
    <row r="1467" spans="22:22">
      <c r="V1467" t="str">
        <f t="shared" si="22"/>
        <v/>
      </c>
    </row>
    <row r="1468" spans="22:22">
      <c r="V1468" t="str">
        <f t="shared" si="22"/>
        <v/>
      </c>
    </row>
    <row r="1469" spans="22:22">
      <c r="V1469" t="str">
        <f t="shared" si="22"/>
        <v/>
      </c>
    </row>
    <row r="1470" spans="22:22">
      <c r="V1470" t="str">
        <f t="shared" si="22"/>
        <v/>
      </c>
    </row>
    <row r="1471" spans="22:22">
      <c r="V1471" t="str">
        <f t="shared" si="22"/>
        <v/>
      </c>
    </row>
    <row r="1472" spans="22:22">
      <c r="V1472" t="str">
        <f t="shared" si="22"/>
        <v/>
      </c>
    </row>
    <row r="1473" spans="22:22">
      <c r="V1473" t="str">
        <f t="shared" si="22"/>
        <v/>
      </c>
    </row>
    <row r="1474" spans="22:22">
      <c r="V1474" t="str">
        <f t="shared" si="22"/>
        <v/>
      </c>
    </row>
    <row r="1475" spans="22:22">
      <c r="V1475" t="str">
        <f t="shared" ref="V1475:V1538" si="23">IF(W1475="","",W1475&amp;" &lt;&lt;&lt;&gt;&gt;&gt; "&amp;X1475)</f>
        <v/>
      </c>
    </row>
    <row r="1476" spans="22:22">
      <c r="V1476" t="str">
        <f t="shared" si="23"/>
        <v/>
      </c>
    </row>
    <row r="1477" spans="22:22">
      <c r="V1477" t="str">
        <f t="shared" si="23"/>
        <v/>
      </c>
    </row>
    <row r="1478" spans="22:22">
      <c r="V1478" t="str">
        <f t="shared" si="23"/>
        <v/>
      </c>
    </row>
    <row r="1479" spans="22:22">
      <c r="V1479" t="str">
        <f t="shared" si="23"/>
        <v/>
      </c>
    </row>
    <row r="1480" spans="22:22">
      <c r="V1480" t="str">
        <f t="shared" si="23"/>
        <v/>
      </c>
    </row>
    <row r="1481" spans="22:22">
      <c r="V1481" t="str">
        <f t="shared" si="23"/>
        <v/>
      </c>
    </row>
    <row r="1482" spans="22:22">
      <c r="V1482" t="str">
        <f t="shared" si="23"/>
        <v/>
      </c>
    </row>
    <row r="1483" spans="22:22">
      <c r="V1483" t="str">
        <f t="shared" si="23"/>
        <v/>
      </c>
    </row>
    <row r="1484" spans="22:22">
      <c r="V1484" t="str">
        <f t="shared" si="23"/>
        <v/>
      </c>
    </row>
    <row r="1485" spans="22:22">
      <c r="V1485" t="str">
        <f t="shared" si="23"/>
        <v/>
      </c>
    </row>
    <row r="1486" spans="22:22">
      <c r="V1486" t="str">
        <f t="shared" si="23"/>
        <v/>
      </c>
    </row>
    <row r="1487" spans="22:22">
      <c r="V1487" t="str">
        <f t="shared" si="23"/>
        <v/>
      </c>
    </row>
    <row r="1488" spans="22:22">
      <c r="V1488" t="str">
        <f t="shared" si="23"/>
        <v/>
      </c>
    </row>
    <row r="1489" spans="22:22">
      <c r="V1489" t="str">
        <f t="shared" si="23"/>
        <v/>
      </c>
    </row>
    <row r="1490" spans="22:22">
      <c r="V1490" t="str">
        <f t="shared" si="23"/>
        <v/>
      </c>
    </row>
    <row r="1491" spans="22:22">
      <c r="V1491" t="str">
        <f t="shared" si="23"/>
        <v/>
      </c>
    </row>
    <row r="1492" spans="22:22">
      <c r="V1492" t="str">
        <f t="shared" si="23"/>
        <v/>
      </c>
    </row>
    <row r="1493" spans="22:22">
      <c r="V1493" t="str">
        <f t="shared" si="23"/>
        <v/>
      </c>
    </row>
    <row r="1494" spans="22:22">
      <c r="V1494" t="str">
        <f t="shared" si="23"/>
        <v/>
      </c>
    </row>
    <row r="1495" spans="22:22">
      <c r="V1495" t="str">
        <f t="shared" si="23"/>
        <v/>
      </c>
    </row>
    <row r="1496" spans="22:22">
      <c r="V1496" t="str">
        <f t="shared" si="23"/>
        <v/>
      </c>
    </row>
    <row r="1497" spans="22:22">
      <c r="V1497" t="str">
        <f t="shared" si="23"/>
        <v/>
      </c>
    </row>
    <row r="1498" spans="22:22">
      <c r="V1498" t="str">
        <f t="shared" si="23"/>
        <v/>
      </c>
    </row>
    <row r="1499" spans="22:22">
      <c r="V1499" t="str">
        <f t="shared" si="23"/>
        <v/>
      </c>
    </row>
    <row r="1500" spans="22:22">
      <c r="V1500" t="str">
        <f t="shared" si="23"/>
        <v/>
      </c>
    </row>
    <row r="1501" spans="22:22">
      <c r="V1501" t="str">
        <f t="shared" si="23"/>
        <v/>
      </c>
    </row>
    <row r="1502" spans="22:22">
      <c r="V1502" t="str">
        <f t="shared" si="23"/>
        <v/>
      </c>
    </row>
    <row r="1503" spans="22:22">
      <c r="V1503" t="str">
        <f t="shared" si="23"/>
        <v/>
      </c>
    </row>
    <row r="1504" spans="22:22">
      <c r="V1504" t="str">
        <f t="shared" si="23"/>
        <v/>
      </c>
    </row>
    <row r="1505" spans="22:22">
      <c r="V1505" t="str">
        <f t="shared" si="23"/>
        <v/>
      </c>
    </row>
    <row r="1506" spans="22:22">
      <c r="V1506" t="str">
        <f t="shared" si="23"/>
        <v/>
      </c>
    </row>
    <row r="1507" spans="22:22">
      <c r="V1507" t="str">
        <f t="shared" si="23"/>
        <v/>
      </c>
    </row>
    <row r="1508" spans="22:22">
      <c r="V1508" t="str">
        <f t="shared" si="23"/>
        <v/>
      </c>
    </row>
    <row r="1509" spans="22:22">
      <c r="V1509" t="str">
        <f t="shared" si="23"/>
        <v/>
      </c>
    </row>
    <row r="1510" spans="22:22">
      <c r="V1510" t="str">
        <f t="shared" si="23"/>
        <v/>
      </c>
    </row>
    <row r="1511" spans="22:22">
      <c r="V1511" t="str">
        <f t="shared" si="23"/>
        <v/>
      </c>
    </row>
    <row r="1512" spans="22:22">
      <c r="V1512" t="str">
        <f t="shared" si="23"/>
        <v/>
      </c>
    </row>
    <row r="1513" spans="22:22">
      <c r="V1513" t="str">
        <f t="shared" si="23"/>
        <v/>
      </c>
    </row>
    <row r="1514" spans="22:22">
      <c r="V1514" t="str">
        <f t="shared" si="23"/>
        <v/>
      </c>
    </row>
    <row r="1515" spans="22:22">
      <c r="V1515" t="str">
        <f t="shared" si="23"/>
        <v/>
      </c>
    </row>
    <row r="1516" spans="22:22">
      <c r="V1516" t="str">
        <f t="shared" si="23"/>
        <v/>
      </c>
    </row>
    <row r="1517" spans="22:22">
      <c r="V1517" t="str">
        <f t="shared" si="23"/>
        <v/>
      </c>
    </row>
    <row r="1518" spans="22:22">
      <c r="V1518" t="str">
        <f t="shared" si="23"/>
        <v/>
      </c>
    </row>
    <row r="1519" spans="22:22">
      <c r="V1519" t="str">
        <f t="shared" si="23"/>
        <v/>
      </c>
    </row>
    <row r="1520" spans="22:22">
      <c r="V1520" t="str">
        <f t="shared" si="23"/>
        <v/>
      </c>
    </row>
    <row r="1521" spans="22:22">
      <c r="V1521" t="str">
        <f t="shared" si="23"/>
        <v/>
      </c>
    </row>
    <row r="1522" spans="22:22">
      <c r="V1522" t="str">
        <f t="shared" si="23"/>
        <v/>
      </c>
    </row>
    <row r="1523" spans="22:22">
      <c r="V1523" t="str">
        <f t="shared" si="23"/>
        <v/>
      </c>
    </row>
    <row r="1524" spans="22:22">
      <c r="V1524" t="str">
        <f t="shared" si="23"/>
        <v/>
      </c>
    </row>
    <row r="1525" spans="22:22">
      <c r="V1525" t="str">
        <f t="shared" si="23"/>
        <v/>
      </c>
    </row>
    <row r="1526" spans="22:22">
      <c r="V1526" t="str">
        <f t="shared" si="23"/>
        <v/>
      </c>
    </row>
    <row r="1527" spans="22:22">
      <c r="V1527" t="str">
        <f t="shared" si="23"/>
        <v/>
      </c>
    </row>
    <row r="1528" spans="22:22">
      <c r="V1528" t="str">
        <f t="shared" si="23"/>
        <v/>
      </c>
    </row>
    <row r="1529" spans="22:22">
      <c r="V1529" t="str">
        <f t="shared" si="23"/>
        <v/>
      </c>
    </row>
    <row r="1530" spans="22:22">
      <c r="V1530" t="str">
        <f t="shared" si="23"/>
        <v/>
      </c>
    </row>
    <row r="1531" spans="22:22">
      <c r="V1531" t="str">
        <f t="shared" si="23"/>
        <v/>
      </c>
    </row>
    <row r="1532" spans="22:22">
      <c r="V1532" t="str">
        <f t="shared" si="23"/>
        <v/>
      </c>
    </row>
    <row r="1533" spans="22:22">
      <c r="V1533" t="str">
        <f t="shared" si="23"/>
        <v/>
      </c>
    </row>
    <row r="1534" spans="22:22">
      <c r="V1534" t="str">
        <f t="shared" si="23"/>
        <v/>
      </c>
    </row>
    <row r="1535" spans="22:22">
      <c r="V1535" t="str">
        <f t="shared" si="23"/>
        <v/>
      </c>
    </row>
    <row r="1536" spans="22:22">
      <c r="V1536" t="str">
        <f t="shared" si="23"/>
        <v/>
      </c>
    </row>
    <row r="1537" spans="22:22">
      <c r="V1537" t="str">
        <f t="shared" si="23"/>
        <v/>
      </c>
    </row>
    <row r="1538" spans="22:22">
      <c r="V1538" t="str">
        <f t="shared" si="23"/>
        <v/>
      </c>
    </row>
    <row r="1539" spans="22:22">
      <c r="V1539" t="str">
        <f t="shared" ref="V1539:V1602" si="24">IF(W1539="","",W1539&amp;" &lt;&lt;&lt;&gt;&gt;&gt; "&amp;X1539)</f>
        <v/>
      </c>
    </row>
    <row r="1540" spans="22:22">
      <c r="V1540" t="str">
        <f t="shared" si="24"/>
        <v/>
      </c>
    </row>
    <row r="1541" spans="22:22">
      <c r="V1541" t="str">
        <f t="shared" si="24"/>
        <v/>
      </c>
    </row>
    <row r="1542" spans="22:22">
      <c r="V1542" t="str">
        <f t="shared" si="24"/>
        <v/>
      </c>
    </row>
    <row r="1543" spans="22:22">
      <c r="V1543" t="str">
        <f t="shared" si="24"/>
        <v/>
      </c>
    </row>
    <row r="1544" spans="22:22">
      <c r="V1544" t="str">
        <f t="shared" si="24"/>
        <v/>
      </c>
    </row>
    <row r="1545" spans="22:22">
      <c r="V1545" t="str">
        <f t="shared" si="24"/>
        <v/>
      </c>
    </row>
    <row r="1546" spans="22:22">
      <c r="V1546" t="str">
        <f t="shared" si="24"/>
        <v/>
      </c>
    </row>
    <row r="1547" spans="22:22">
      <c r="V1547" t="str">
        <f t="shared" si="24"/>
        <v/>
      </c>
    </row>
    <row r="1548" spans="22:22">
      <c r="V1548" t="str">
        <f t="shared" si="24"/>
        <v/>
      </c>
    </row>
    <row r="1549" spans="22:22">
      <c r="V1549" t="str">
        <f t="shared" si="24"/>
        <v/>
      </c>
    </row>
    <row r="1550" spans="22:22">
      <c r="V1550" t="str">
        <f t="shared" si="24"/>
        <v/>
      </c>
    </row>
    <row r="1551" spans="22:22">
      <c r="V1551" t="str">
        <f t="shared" si="24"/>
        <v/>
      </c>
    </row>
    <row r="1552" spans="22:22">
      <c r="V1552" t="str">
        <f t="shared" si="24"/>
        <v/>
      </c>
    </row>
    <row r="1553" spans="22:22">
      <c r="V1553" t="str">
        <f t="shared" si="24"/>
        <v/>
      </c>
    </row>
    <row r="1554" spans="22:22">
      <c r="V1554" t="str">
        <f t="shared" si="24"/>
        <v/>
      </c>
    </row>
    <row r="1555" spans="22:22">
      <c r="V1555" t="str">
        <f t="shared" si="24"/>
        <v/>
      </c>
    </row>
    <row r="1556" spans="22:22">
      <c r="V1556" t="str">
        <f t="shared" si="24"/>
        <v/>
      </c>
    </row>
    <row r="1557" spans="22:22">
      <c r="V1557" t="str">
        <f t="shared" si="24"/>
        <v/>
      </c>
    </row>
    <row r="1558" spans="22:22">
      <c r="V1558" t="str">
        <f t="shared" si="24"/>
        <v/>
      </c>
    </row>
    <row r="1559" spans="22:22">
      <c r="V1559" t="str">
        <f t="shared" si="24"/>
        <v/>
      </c>
    </row>
    <row r="1560" spans="22:22">
      <c r="V1560" t="str">
        <f t="shared" si="24"/>
        <v/>
      </c>
    </row>
    <row r="1561" spans="22:22">
      <c r="V1561" t="str">
        <f t="shared" si="24"/>
        <v/>
      </c>
    </row>
    <row r="1562" spans="22:22">
      <c r="V1562" t="str">
        <f t="shared" si="24"/>
        <v/>
      </c>
    </row>
    <row r="1563" spans="22:22">
      <c r="V1563" t="str">
        <f t="shared" si="24"/>
        <v/>
      </c>
    </row>
    <row r="1564" spans="22:22">
      <c r="V1564" t="str">
        <f t="shared" si="24"/>
        <v/>
      </c>
    </row>
    <row r="1565" spans="22:22">
      <c r="V1565" t="str">
        <f t="shared" si="24"/>
        <v/>
      </c>
    </row>
    <row r="1566" spans="22:22">
      <c r="V1566" t="str">
        <f t="shared" si="24"/>
        <v/>
      </c>
    </row>
    <row r="1567" spans="22:22">
      <c r="V1567" t="str">
        <f t="shared" si="24"/>
        <v/>
      </c>
    </row>
    <row r="1568" spans="22:22">
      <c r="V1568" t="str">
        <f t="shared" si="24"/>
        <v/>
      </c>
    </row>
    <row r="1569" spans="22:22">
      <c r="V1569" t="str">
        <f t="shared" si="24"/>
        <v/>
      </c>
    </row>
    <row r="1570" spans="22:22">
      <c r="V1570" t="str">
        <f t="shared" si="24"/>
        <v/>
      </c>
    </row>
    <row r="1571" spans="22:22">
      <c r="V1571" t="str">
        <f t="shared" si="24"/>
        <v/>
      </c>
    </row>
    <row r="1572" spans="22:22">
      <c r="V1572" t="str">
        <f t="shared" si="24"/>
        <v/>
      </c>
    </row>
    <row r="1573" spans="22:22">
      <c r="V1573" t="str">
        <f t="shared" si="24"/>
        <v/>
      </c>
    </row>
    <row r="1574" spans="22:22">
      <c r="V1574" t="str">
        <f t="shared" si="24"/>
        <v/>
      </c>
    </row>
    <row r="1575" spans="22:22">
      <c r="V1575" t="str">
        <f t="shared" si="24"/>
        <v/>
      </c>
    </row>
    <row r="1576" spans="22:22">
      <c r="V1576" t="str">
        <f t="shared" si="24"/>
        <v/>
      </c>
    </row>
    <row r="1577" spans="22:22">
      <c r="V1577" t="str">
        <f t="shared" si="24"/>
        <v/>
      </c>
    </row>
    <row r="1578" spans="22:22">
      <c r="V1578" t="str">
        <f t="shared" si="24"/>
        <v/>
      </c>
    </row>
    <row r="1579" spans="22:22">
      <c r="V1579" t="str">
        <f t="shared" si="24"/>
        <v/>
      </c>
    </row>
    <row r="1580" spans="22:22">
      <c r="V1580" t="str">
        <f t="shared" si="24"/>
        <v/>
      </c>
    </row>
    <row r="1581" spans="22:22">
      <c r="V1581" t="str">
        <f t="shared" si="24"/>
        <v/>
      </c>
    </row>
    <row r="1582" spans="22:22">
      <c r="V1582" t="str">
        <f t="shared" si="24"/>
        <v/>
      </c>
    </row>
    <row r="1583" spans="22:22">
      <c r="V1583" t="str">
        <f t="shared" si="24"/>
        <v/>
      </c>
    </row>
    <row r="1584" spans="22:22">
      <c r="V1584" t="str">
        <f t="shared" si="24"/>
        <v/>
      </c>
    </row>
    <row r="1585" spans="22:22">
      <c r="V1585" t="str">
        <f t="shared" si="24"/>
        <v/>
      </c>
    </row>
    <row r="1586" spans="22:22">
      <c r="V1586" t="str">
        <f t="shared" si="24"/>
        <v/>
      </c>
    </row>
    <row r="1587" spans="22:22">
      <c r="V1587" t="str">
        <f t="shared" si="24"/>
        <v/>
      </c>
    </row>
    <row r="1588" spans="22:22">
      <c r="V1588" t="str">
        <f t="shared" si="24"/>
        <v/>
      </c>
    </row>
    <row r="1589" spans="22:22">
      <c r="V1589" t="str">
        <f t="shared" si="24"/>
        <v/>
      </c>
    </row>
    <row r="1590" spans="22:22">
      <c r="V1590" t="str">
        <f t="shared" si="24"/>
        <v/>
      </c>
    </row>
    <row r="1591" spans="22:22">
      <c r="V1591" t="str">
        <f t="shared" si="24"/>
        <v/>
      </c>
    </row>
    <row r="1592" spans="22:22">
      <c r="V1592" t="str">
        <f t="shared" si="24"/>
        <v/>
      </c>
    </row>
    <row r="1593" spans="22:22">
      <c r="V1593" t="str">
        <f t="shared" si="24"/>
        <v/>
      </c>
    </row>
    <row r="1594" spans="22:22">
      <c r="V1594" t="str">
        <f t="shared" si="24"/>
        <v/>
      </c>
    </row>
    <row r="1595" spans="22:22">
      <c r="V1595" t="str">
        <f t="shared" si="24"/>
        <v/>
      </c>
    </row>
    <row r="1596" spans="22:22">
      <c r="V1596" t="str">
        <f t="shared" si="24"/>
        <v/>
      </c>
    </row>
    <row r="1597" spans="22:22">
      <c r="V1597" t="str">
        <f t="shared" si="24"/>
        <v/>
      </c>
    </row>
    <row r="1598" spans="22:22">
      <c r="V1598" t="str">
        <f t="shared" si="24"/>
        <v/>
      </c>
    </row>
    <row r="1599" spans="22:22">
      <c r="V1599" t="str">
        <f t="shared" si="24"/>
        <v/>
      </c>
    </row>
    <row r="1600" spans="22:22">
      <c r="V1600" t="str">
        <f t="shared" si="24"/>
        <v/>
      </c>
    </row>
    <row r="1601" spans="22:22">
      <c r="V1601" t="str">
        <f t="shared" si="24"/>
        <v/>
      </c>
    </row>
    <row r="1602" spans="22:22">
      <c r="V1602" t="str">
        <f t="shared" si="24"/>
        <v/>
      </c>
    </row>
    <row r="1603" spans="22:22">
      <c r="V1603" t="str">
        <f t="shared" ref="V1603:V1666" si="25">IF(W1603="","",W1603&amp;" &lt;&lt;&lt;&gt;&gt;&gt; "&amp;X1603)</f>
        <v/>
      </c>
    </row>
    <row r="1604" spans="22:22">
      <c r="V1604" t="str">
        <f t="shared" si="25"/>
        <v/>
      </c>
    </row>
    <row r="1605" spans="22:22">
      <c r="V1605" t="str">
        <f t="shared" si="25"/>
        <v/>
      </c>
    </row>
    <row r="1606" spans="22:22">
      <c r="V1606" t="str">
        <f t="shared" si="25"/>
        <v/>
      </c>
    </row>
    <row r="1607" spans="22:22">
      <c r="V1607" t="str">
        <f t="shared" si="25"/>
        <v/>
      </c>
    </row>
    <row r="1608" spans="22:22">
      <c r="V1608" t="str">
        <f t="shared" si="25"/>
        <v/>
      </c>
    </row>
    <row r="1609" spans="22:22">
      <c r="V1609" t="str">
        <f t="shared" si="25"/>
        <v/>
      </c>
    </row>
    <row r="1610" spans="22:22">
      <c r="V1610" t="str">
        <f t="shared" si="25"/>
        <v/>
      </c>
    </row>
    <row r="1611" spans="22:22">
      <c r="V1611" t="str">
        <f t="shared" si="25"/>
        <v/>
      </c>
    </row>
    <row r="1612" spans="22:22">
      <c r="V1612" t="str">
        <f t="shared" si="25"/>
        <v/>
      </c>
    </row>
    <row r="1613" spans="22:22">
      <c r="V1613" t="str">
        <f t="shared" si="25"/>
        <v/>
      </c>
    </row>
    <row r="1614" spans="22:22">
      <c r="V1614" t="str">
        <f t="shared" si="25"/>
        <v/>
      </c>
    </row>
    <row r="1615" spans="22:22">
      <c r="V1615" t="str">
        <f t="shared" si="25"/>
        <v/>
      </c>
    </row>
    <row r="1616" spans="22:22">
      <c r="V1616" t="str">
        <f t="shared" si="25"/>
        <v/>
      </c>
    </row>
    <row r="1617" spans="22:22">
      <c r="V1617" t="str">
        <f t="shared" si="25"/>
        <v/>
      </c>
    </row>
    <row r="1618" spans="22:22">
      <c r="V1618" t="str">
        <f t="shared" si="25"/>
        <v/>
      </c>
    </row>
    <row r="1619" spans="22:22">
      <c r="V1619" t="str">
        <f t="shared" si="25"/>
        <v/>
      </c>
    </row>
    <row r="1620" spans="22:22">
      <c r="V1620" t="str">
        <f t="shared" si="25"/>
        <v/>
      </c>
    </row>
    <row r="1621" spans="22:22">
      <c r="V1621" t="str">
        <f t="shared" si="25"/>
        <v/>
      </c>
    </row>
    <row r="1622" spans="22:22">
      <c r="V1622" t="str">
        <f t="shared" si="25"/>
        <v/>
      </c>
    </row>
    <row r="1623" spans="22:22">
      <c r="V1623" t="str">
        <f t="shared" si="25"/>
        <v/>
      </c>
    </row>
    <row r="1624" spans="22:22">
      <c r="V1624" t="str">
        <f t="shared" si="25"/>
        <v/>
      </c>
    </row>
    <row r="1625" spans="22:22">
      <c r="V1625" t="str">
        <f t="shared" si="25"/>
        <v/>
      </c>
    </row>
    <row r="1626" spans="22:22">
      <c r="V1626" t="str">
        <f t="shared" si="25"/>
        <v/>
      </c>
    </row>
    <row r="1627" spans="22:22">
      <c r="V1627" t="str">
        <f t="shared" si="25"/>
        <v/>
      </c>
    </row>
    <row r="1628" spans="22:22">
      <c r="V1628" t="str">
        <f t="shared" si="25"/>
        <v/>
      </c>
    </row>
    <row r="1629" spans="22:22">
      <c r="V1629" t="str">
        <f t="shared" si="25"/>
        <v/>
      </c>
    </row>
    <row r="1630" spans="22:22">
      <c r="V1630" t="str">
        <f t="shared" si="25"/>
        <v/>
      </c>
    </row>
    <row r="1631" spans="22:22">
      <c r="V1631" t="str">
        <f t="shared" si="25"/>
        <v/>
      </c>
    </row>
    <row r="1632" spans="22:22">
      <c r="V1632" t="str">
        <f t="shared" si="25"/>
        <v/>
      </c>
    </row>
    <row r="1633" spans="22:22">
      <c r="V1633" t="str">
        <f t="shared" si="25"/>
        <v/>
      </c>
    </row>
    <row r="1634" spans="22:22">
      <c r="V1634" t="str">
        <f t="shared" si="25"/>
        <v/>
      </c>
    </row>
    <row r="1635" spans="22:22">
      <c r="V1635" t="str">
        <f t="shared" si="25"/>
        <v/>
      </c>
    </row>
    <row r="1636" spans="22:22">
      <c r="V1636" t="str">
        <f t="shared" si="25"/>
        <v/>
      </c>
    </row>
    <row r="1637" spans="22:22">
      <c r="V1637" t="str">
        <f t="shared" si="25"/>
        <v/>
      </c>
    </row>
    <row r="1638" spans="22:22">
      <c r="V1638" t="str">
        <f t="shared" si="25"/>
        <v/>
      </c>
    </row>
    <row r="1639" spans="22:22">
      <c r="V1639" t="str">
        <f t="shared" si="25"/>
        <v/>
      </c>
    </row>
    <row r="1640" spans="22:22">
      <c r="V1640" t="str">
        <f t="shared" si="25"/>
        <v/>
      </c>
    </row>
    <row r="1641" spans="22:22">
      <c r="V1641" t="str">
        <f t="shared" si="25"/>
        <v/>
      </c>
    </row>
    <row r="1642" spans="22:22">
      <c r="V1642" t="str">
        <f t="shared" si="25"/>
        <v/>
      </c>
    </row>
    <row r="1643" spans="22:22">
      <c r="V1643" t="str">
        <f t="shared" si="25"/>
        <v/>
      </c>
    </row>
    <row r="1644" spans="22:22">
      <c r="V1644" t="str">
        <f t="shared" si="25"/>
        <v/>
      </c>
    </row>
    <row r="1645" spans="22:22">
      <c r="V1645" t="str">
        <f t="shared" si="25"/>
        <v/>
      </c>
    </row>
    <row r="1646" spans="22:22">
      <c r="V1646" t="str">
        <f t="shared" si="25"/>
        <v/>
      </c>
    </row>
    <row r="1647" spans="22:22">
      <c r="V1647" t="str">
        <f t="shared" si="25"/>
        <v/>
      </c>
    </row>
    <row r="1648" spans="22:22">
      <c r="V1648" t="str">
        <f t="shared" si="25"/>
        <v/>
      </c>
    </row>
    <row r="1649" spans="22:22">
      <c r="V1649" t="str">
        <f t="shared" si="25"/>
        <v/>
      </c>
    </row>
    <row r="1650" spans="22:22">
      <c r="V1650" t="str">
        <f t="shared" si="25"/>
        <v/>
      </c>
    </row>
    <row r="1651" spans="22:22">
      <c r="V1651" t="str">
        <f t="shared" si="25"/>
        <v/>
      </c>
    </row>
    <row r="1652" spans="22:22">
      <c r="V1652" t="str">
        <f t="shared" si="25"/>
        <v/>
      </c>
    </row>
    <row r="1653" spans="22:22">
      <c r="V1653" t="str">
        <f t="shared" si="25"/>
        <v/>
      </c>
    </row>
    <row r="1654" spans="22:22">
      <c r="V1654" t="str">
        <f t="shared" si="25"/>
        <v/>
      </c>
    </row>
    <row r="1655" spans="22:22">
      <c r="V1655" t="str">
        <f t="shared" si="25"/>
        <v/>
      </c>
    </row>
    <row r="1656" spans="22:22">
      <c r="V1656" t="str">
        <f t="shared" si="25"/>
        <v/>
      </c>
    </row>
    <row r="1657" spans="22:22">
      <c r="V1657" t="str">
        <f t="shared" si="25"/>
        <v/>
      </c>
    </row>
    <row r="1658" spans="22:22">
      <c r="V1658" t="str">
        <f t="shared" si="25"/>
        <v/>
      </c>
    </row>
    <row r="1659" spans="22:22">
      <c r="V1659" t="str">
        <f t="shared" si="25"/>
        <v/>
      </c>
    </row>
    <row r="1660" spans="22:22">
      <c r="V1660" t="str">
        <f t="shared" si="25"/>
        <v/>
      </c>
    </row>
    <row r="1661" spans="22:22">
      <c r="V1661" t="str">
        <f t="shared" si="25"/>
        <v/>
      </c>
    </row>
    <row r="1662" spans="22:22">
      <c r="V1662" t="str">
        <f t="shared" si="25"/>
        <v/>
      </c>
    </row>
    <row r="1663" spans="22:22">
      <c r="V1663" t="str">
        <f t="shared" si="25"/>
        <v/>
      </c>
    </row>
    <row r="1664" spans="22:22">
      <c r="V1664" t="str">
        <f t="shared" si="25"/>
        <v/>
      </c>
    </row>
    <row r="1665" spans="22:22">
      <c r="V1665" t="str">
        <f t="shared" si="25"/>
        <v/>
      </c>
    </row>
    <row r="1666" spans="22:22">
      <c r="V1666" t="str">
        <f t="shared" si="25"/>
        <v/>
      </c>
    </row>
    <row r="1667" spans="22:22">
      <c r="V1667" t="str">
        <f t="shared" ref="V1667:V1730" si="26">IF(W1667="","",W1667&amp;" &lt;&lt;&lt;&gt;&gt;&gt; "&amp;X1667)</f>
        <v/>
      </c>
    </row>
    <row r="1668" spans="22:22">
      <c r="V1668" t="str">
        <f t="shared" si="26"/>
        <v/>
      </c>
    </row>
    <row r="1669" spans="22:22">
      <c r="V1669" t="str">
        <f t="shared" si="26"/>
        <v/>
      </c>
    </row>
    <row r="1670" spans="22:22">
      <c r="V1670" t="str">
        <f t="shared" si="26"/>
        <v/>
      </c>
    </row>
    <row r="1671" spans="22:22">
      <c r="V1671" t="str">
        <f t="shared" si="26"/>
        <v/>
      </c>
    </row>
    <row r="1672" spans="22:22">
      <c r="V1672" t="str">
        <f t="shared" si="26"/>
        <v/>
      </c>
    </row>
    <row r="1673" spans="22:22">
      <c r="V1673" t="str">
        <f t="shared" si="26"/>
        <v/>
      </c>
    </row>
    <row r="1674" spans="22:22">
      <c r="V1674" t="str">
        <f t="shared" si="26"/>
        <v/>
      </c>
    </row>
    <row r="1675" spans="22:22">
      <c r="V1675" t="str">
        <f t="shared" si="26"/>
        <v/>
      </c>
    </row>
    <row r="1676" spans="22:22">
      <c r="V1676" t="str">
        <f t="shared" si="26"/>
        <v/>
      </c>
    </row>
    <row r="1677" spans="22:22">
      <c r="V1677" t="str">
        <f t="shared" si="26"/>
        <v/>
      </c>
    </row>
    <row r="1678" spans="22:22">
      <c r="V1678" t="str">
        <f t="shared" si="26"/>
        <v/>
      </c>
    </row>
    <row r="1679" spans="22:22">
      <c r="V1679" t="str">
        <f t="shared" si="26"/>
        <v/>
      </c>
    </row>
    <row r="1680" spans="22:22">
      <c r="V1680" t="str">
        <f t="shared" si="26"/>
        <v/>
      </c>
    </row>
    <row r="1681" spans="22:22">
      <c r="V1681" t="str">
        <f t="shared" si="26"/>
        <v/>
      </c>
    </row>
    <row r="1682" spans="22:22">
      <c r="V1682" t="str">
        <f t="shared" si="26"/>
        <v/>
      </c>
    </row>
    <row r="1683" spans="22:22">
      <c r="V1683" t="str">
        <f t="shared" si="26"/>
        <v/>
      </c>
    </row>
    <row r="1684" spans="22:22">
      <c r="V1684" t="str">
        <f t="shared" si="26"/>
        <v/>
      </c>
    </row>
    <row r="1685" spans="22:22">
      <c r="V1685" t="str">
        <f t="shared" si="26"/>
        <v/>
      </c>
    </row>
    <row r="1686" spans="22:22">
      <c r="V1686" t="str">
        <f t="shared" si="26"/>
        <v/>
      </c>
    </row>
    <row r="1687" spans="22:22">
      <c r="V1687" t="str">
        <f t="shared" si="26"/>
        <v/>
      </c>
    </row>
    <row r="1688" spans="22:22">
      <c r="V1688" t="str">
        <f t="shared" si="26"/>
        <v/>
      </c>
    </row>
    <row r="1689" spans="22:22">
      <c r="V1689" t="str">
        <f t="shared" si="26"/>
        <v/>
      </c>
    </row>
    <row r="1690" spans="22:22">
      <c r="V1690" t="str">
        <f t="shared" si="26"/>
        <v/>
      </c>
    </row>
    <row r="1691" spans="22:22">
      <c r="V1691" t="str">
        <f t="shared" si="26"/>
        <v/>
      </c>
    </row>
    <row r="1692" spans="22:22">
      <c r="V1692" t="str">
        <f t="shared" si="26"/>
        <v/>
      </c>
    </row>
    <row r="1693" spans="22:22">
      <c r="V1693" t="str">
        <f t="shared" si="26"/>
        <v/>
      </c>
    </row>
    <row r="1694" spans="22:22">
      <c r="V1694" t="str">
        <f t="shared" si="26"/>
        <v/>
      </c>
    </row>
    <row r="1695" spans="22:22">
      <c r="V1695" t="str">
        <f t="shared" si="26"/>
        <v/>
      </c>
    </row>
    <row r="1696" spans="22:22">
      <c r="V1696" t="str">
        <f t="shared" si="26"/>
        <v/>
      </c>
    </row>
    <row r="1697" spans="22:22">
      <c r="V1697" t="str">
        <f t="shared" si="26"/>
        <v/>
      </c>
    </row>
    <row r="1698" spans="22:22">
      <c r="V1698" t="str">
        <f t="shared" si="26"/>
        <v/>
      </c>
    </row>
    <row r="1699" spans="22:22">
      <c r="V1699" t="str">
        <f t="shared" si="26"/>
        <v/>
      </c>
    </row>
    <row r="1700" spans="22:22">
      <c r="V1700" t="str">
        <f t="shared" si="26"/>
        <v/>
      </c>
    </row>
    <row r="1701" spans="22:22">
      <c r="V1701" t="str">
        <f t="shared" si="26"/>
        <v/>
      </c>
    </row>
    <row r="1702" spans="22:22">
      <c r="V1702" t="str">
        <f t="shared" si="26"/>
        <v/>
      </c>
    </row>
    <row r="1703" spans="22:22">
      <c r="V1703" t="str">
        <f t="shared" si="26"/>
        <v/>
      </c>
    </row>
    <row r="1704" spans="22:22">
      <c r="V1704" t="str">
        <f t="shared" si="26"/>
        <v/>
      </c>
    </row>
    <row r="1705" spans="22:22">
      <c r="V1705" t="str">
        <f t="shared" si="26"/>
        <v/>
      </c>
    </row>
    <row r="1706" spans="22:22">
      <c r="V1706" t="str">
        <f t="shared" si="26"/>
        <v/>
      </c>
    </row>
    <row r="1707" spans="22:22">
      <c r="V1707" t="str">
        <f t="shared" si="26"/>
        <v/>
      </c>
    </row>
    <row r="1708" spans="22:22">
      <c r="V1708" t="str">
        <f t="shared" si="26"/>
        <v/>
      </c>
    </row>
    <row r="1709" spans="22:22">
      <c r="V1709" t="str">
        <f t="shared" si="26"/>
        <v/>
      </c>
    </row>
    <row r="1710" spans="22:22">
      <c r="V1710" t="str">
        <f t="shared" si="26"/>
        <v/>
      </c>
    </row>
    <row r="1711" spans="22:22">
      <c r="V1711" t="str">
        <f t="shared" si="26"/>
        <v/>
      </c>
    </row>
    <row r="1712" spans="22:22">
      <c r="V1712" t="str">
        <f t="shared" si="26"/>
        <v/>
      </c>
    </row>
    <row r="1713" spans="22:22">
      <c r="V1713" t="str">
        <f t="shared" si="26"/>
        <v/>
      </c>
    </row>
    <row r="1714" spans="22:22">
      <c r="V1714" t="str">
        <f t="shared" si="26"/>
        <v/>
      </c>
    </row>
    <row r="1715" spans="22:22">
      <c r="V1715" t="str">
        <f t="shared" si="26"/>
        <v/>
      </c>
    </row>
    <row r="1716" spans="22:22">
      <c r="V1716" t="str">
        <f t="shared" si="26"/>
        <v/>
      </c>
    </row>
    <row r="1717" spans="22:22">
      <c r="V1717" t="str">
        <f t="shared" si="26"/>
        <v/>
      </c>
    </row>
    <row r="1718" spans="22:22">
      <c r="V1718" t="str">
        <f t="shared" si="26"/>
        <v/>
      </c>
    </row>
    <row r="1719" spans="22:22">
      <c r="V1719" t="str">
        <f t="shared" si="26"/>
        <v/>
      </c>
    </row>
    <row r="1720" spans="22:22">
      <c r="V1720" t="str">
        <f t="shared" si="26"/>
        <v/>
      </c>
    </row>
    <row r="1721" spans="22:22">
      <c r="V1721" t="str">
        <f t="shared" si="26"/>
        <v/>
      </c>
    </row>
    <row r="1722" spans="22:22">
      <c r="V1722" t="str">
        <f t="shared" si="26"/>
        <v/>
      </c>
    </row>
    <row r="1723" spans="22:22">
      <c r="V1723" t="str">
        <f t="shared" si="26"/>
        <v/>
      </c>
    </row>
    <row r="1724" spans="22:22">
      <c r="V1724" t="str">
        <f t="shared" si="26"/>
        <v/>
      </c>
    </row>
    <row r="1725" spans="22:22">
      <c r="V1725" t="str">
        <f t="shared" si="26"/>
        <v/>
      </c>
    </row>
    <row r="1726" spans="22:22">
      <c r="V1726" t="str">
        <f t="shared" si="26"/>
        <v/>
      </c>
    </row>
    <row r="1727" spans="22:22">
      <c r="V1727" t="str">
        <f t="shared" si="26"/>
        <v/>
      </c>
    </row>
    <row r="1728" spans="22:22">
      <c r="V1728" t="str">
        <f t="shared" si="26"/>
        <v/>
      </c>
    </row>
    <row r="1729" spans="22:22">
      <c r="V1729" t="str">
        <f t="shared" si="26"/>
        <v/>
      </c>
    </row>
    <row r="1730" spans="22:22">
      <c r="V1730" t="str">
        <f t="shared" si="26"/>
        <v/>
      </c>
    </row>
    <row r="1731" spans="22:22">
      <c r="V1731" t="str">
        <f t="shared" ref="V1731:V1794" si="27">IF(W1731="","",W1731&amp;" &lt;&lt;&lt;&gt;&gt;&gt; "&amp;X1731)</f>
        <v/>
      </c>
    </row>
    <row r="1732" spans="22:22">
      <c r="V1732" t="str">
        <f t="shared" si="27"/>
        <v/>
      </c>
    </row>
    <row r="1733" spans="22:22">
      <c r="V1733" t="str">
        <f t="shared" si="27"/>
        <v/>
      </c>
    </row>
    <row r="1734" spans="22:22">
      <c r="V1734" t="str">
        <f t="shared" si="27"/>
        <v/>
      </c>
    </row>
    <row r="1735" spans="22:22">
      <c r="V1735" t="str">
        <f t="shared" si="27"/>
        <v/>
      </c>
    </row>
    <row r="1736" spans="22:22">
      <c r="V1736" t="str">
        <f t="shared" si="27"/>
        <v/>
      </c>
    </row>
    <row r="1737" spans="22:22">
      <c r="V1737" t="str">
        <f t="shared" si="27"/>
        <v/>
      </c>
    </row>
    <row r="1738" spans="22:22">
      <c r="V1738" t="str">
        <f t="shared" si="27"/>
        <v/>
      </c>
    </row>
    <row r="1739" spans="22:22">
      <c r="V1739" t="str">
        <f t="shared" si="27"/>
        <v/>
      </c>
    </row>
    <row r="1740" spans="22:22">
      <c r="V1740" t="str">
        <f t="shared" si="27"/>
        <v/>
      </c>
    </row>
    <row r="1741" spans="22:22">
      <c r="V1741" t="str">
        <f t="shared" si="27"/>
        <v/>
      </c>
    </row>
    <row r="1742" spans="22:22">
      <c r="V1742" t="str">
        <f t="shared" si="27"/>
        <v/>
      </c>
    </row>
    <row r="1743" spans="22:22">
      <c r="V1743" t="str">
        <f t="shared" si="27"/>
        <v/>
      </c>
    </row>
    <row r="1744" spans="22:22">
      <c r="V1744" t="str">
        <f t="shared" si="27"/>
        <v/>
      </c>
    </row>
    <row r="1745" spans="22:22">
      <c r="V1745" t="str">
        <f t="shared" si="27"/>
        <v/>
      </c>
    </row>
    <row r="1746" spans="22:22">
      <c r="V1746" t="str">
        <f t="shared" si="27"/>
        <v/>
      </c>
    </row>
    <row r="1747" spans="22:22">
      <c r="V1747" t="str">
        <f t="shared" si="27"/>
        <v/>
      </c>
    </row>
    <row r="1748" spans="22:22">
      <c r="V1748" t="str">
        <f t="shared" si="27"/>
        <v/>
      </c>
    </row>
    <row r="1749" spans="22:22">
      <c r="V1749" t="str">
        <f t="shared" si="27"/>
        <v/>
      </c>
    </row>
    <row r="1750" spans="22:22">
      <c r="V1750" t="str">
        <f t="shared" si="27"/>
        <v/>
      </c>
    </row>
    <row r="1751" spans="22:22">
      <c r="V1751" t="str">
        <f t="shared" si="27"/>
        <v/>
      </c>
    </row>
    <row r="1752" spans="22:22">
      <c r="V1752" t="str">
        <f t="shared" si="27"/>
        <v/>
      </c>
    </row>
    <row r="1753" spans="22:22">
      <c r="V1753" t="str">
        <f t="shared" si="27"/>
        <v/>
      </c>
    </row>
    <row r="1754" spans="22:22">
      <c r="V1754" t="str">
        <f t="shared" si="27"/>
        <v/>
      </c>
    </row>
    <row r="1755" spans="22:22">
      <c r="V1755" t="str">
        <f t="shared" si="27"/>
        <v/>
      </c>
    </row>
    <row r="1756" spans="22:22">
      <c r="V1756" t="str">
        <f t="shared" si="27"/>
        <v/>
      </c>
    </row>
    <row r="1757" spans="22:22">
      <c r="V1757" t="str">
        <f t="shared" si="27"/>
        <v/>
      </c>
    </row>
    <row r="1758" spans="22:22">
      <c r="V1758" t="str">
        <f t="shared" si="27"/>
        <v/>
      </c>
    </row>
    <row r="1759" spans="22:22">
      <c r="V1759" t="str">
        <f t="shared" si="27"/>
        <v/>
      </c>
    </row>
    <row r="1760" spans="22:22">
      <c r="V1760" t="str">
        <f t="shared" si="27"/>
        <v/>
      </c>
    </row>
    <row r="1761" spans="22:22">
      <c r="V1761" t="str">
        <f t="shared" si="27"/>
        <v/>
      </c>
    </row>
    <row r="1762" spans="22:22">
      <c r="V1762" t="str">
        <f t="shared" si="27"/>
        <v/>
      </c>
    </row>
    <row r="1763" spans="22:22">
      <c r="V1763" t="str">
        <f t="shared" si="27"/>
        <v/>
      </c>
    </row>
    <row r="1764" spans="22:22">
      <c r="V1764" t="str">
        <f t="shared" si="27"/>
        <v/>
      </c>
    </row>
    <row r="1765" spans="22:22">
      <c r="V1765" t="str">
        <f t="shared" si="27"/>
        <v/>
      </c>
    </row>
    <row r="1766" spans="22:22">
      <c r="V1766" t="str">
        <f t="shared" si="27"/>
        <v/>
      </c>
    </row>
    <row r="1767" spans="22:22">
      <c r="V1767" t="str">
        <f t="shared" si="27"/>
        <v/>
      </c>
    </row>
    <row r="1768" spans="22:22">
      <c r="V1768" t="str">
        <f t="shared" si="27"/>
        <v/>
      </c>
    </row>
    <row r="1769" spans="22:22">
      <c r="V1769" t="str">
        <f t="shared" si="27"/>
        <v/>
      </c>
    </row>
    <row r="1770" spans="22:22">
      <c r="V1770" t="str">
        <f t="shared" si="27"/>
        <v/>
      </c>
    </row>
    <row r="1771" spans="22:22">
      <c r="V1771" t="str">
        <f t="shared" si="27"/>
        <v/>
      </c>
    </row>
    <row r="1772" spans="22:22">
      <c r="V1772" t="str">
        <f t="shared" si="27"/>
        <v/>
      </c>
    </row>
    <row r="1773" spans="22:22">
      <c r="V1773" t="str">
        <f t="shared" si="27"/>
        <v/>
      </c>
    </row>
    <row r="1774" spans="22:22">
      <c r="V1774" t="str">
        <f t="shared" si="27"/>
        <v/>
      </c>
    </row>
    <row r="1775" spans="22:22">
      <c r="V1775" t="str">
        <f t="shared" si="27"/>
        <v/>
      </c>
    </row>
    <row r="1776" spans="22:22">
      <c r="V1776" t="str">
        <f t="shared" si="27"/>
        <v/>
      </c>
    </row>
    <row r="1777" spans="22:22">
      <c r="V1777" t="str">
        <f t="shared" si="27"/>
        <v/>
      </c>
    </row>
    <row r="1778" spans="22:22">
      <c r="V1778" t="str">
        <f t="shared" si="27"/>
        <v/>
      </c>
    </row>
    <row r="1779" spans="22:22">
      <c r="V1779" t="str">
        <f t="shared" si="27"/>
        <v/>
      </c>
    </row>
    <row r="1780" spans="22:22">
      <c r="V1780" t="str">
        <f t="shared" si="27"/>
        <v/>
      </c>
    </row>
    <row r="1781" spans="22:22">
      <c r="V1781" t="str">
        <f t="shared" si="27"/>
        <v/>
      </c>
    </row>
    <row r="1782" spans="22:22">
      <c r="V1782" t="str">
        <f t="shared" si="27"/>
        <v/>
      </c>
    </row>
    <row r="1783" spans="22:22">
      <c r="V1783" t="str">
        <f t="shared" si="27"/>
        <v/>
      </c>
    </row>
    <row r="1784" spans="22:22">
      <c r="V1784" t="str">
        <f t="shared" si="27"/>
        <v/>
      </c>
    </row>
    <row r="1785" spans="22:22">
      <c r="V1785" t="str">
        <f t="shared" si="27"/>
        <v/>
      </c>
    </row>
    <row r="1786" spans="22:22">
      <c r="V1786" t="str">
        <f t="shared" si="27"/>
        <v/>
      </c>
    </row>
    <row r="1787" spans="22:22">
      <c r="V1787" t="str">
        <f t="shared" si="27"/>
        <v/>
      </c>
    </row>
    <row r="1788" spans="22:22">
      <c r="V1788" t="str">
        <f t="shared" si="27"/>
        <v/>
      </c>
    </row>
    <row r="1789" spans="22:22">
      <c r="V1789" t="str">
        <f t="shared" si="27"/>
        <v/>
      </c>
    </row>
    <row r="1790" spans="22:22">
      <c r="V1790" t="str">
        <f t="shared" si="27"/>
        <v/>
      </c>
    </row>
    <row r="1791" spans="22:22">
      <c r="V1791" t="str">
        <f t="shared" si="27"/>
        <v/>
      </c>
    </row>
    <row r="1792" spans="22:22">
      <c r="V1792" t="str">
        <f t="shared" si="27"/>
        <v/>
      </c>
    </row>
    <row r="1793" spans="22:22">
      <c r="V1793" t="str">
        <f t="shared" si="27"/>
        <v/>
      </c>
    </row>
    <row r="1794" spans="22:22">
      <c r="V1794" t="str">
        <f t="shared" si="27"/>
        <v/>
      </c>
    </row>
    <row r="1795" spans="22:22">
      <c r="V1795" t="str">
        <f t="shared" ref="V1795:V1858" si="28">IF(W1795="","",W1795&amp;" &lt;&lt;&lt;&gt;&gt;&gt; "&amp;X1795)</f>
        <v/>
      </c>
    </row>
    <row r="1796" spans="22:22">
      <c r="V1796" t="str">
        <f t="shared" si="28"/>
        <v/>
      </c>
    </row>
    <row r="1797" spans="22:22">
      <c r="V1797" t="str">
        <f t="shared" si="28"/>
        <v/>
      </c>
    </row>
    <row r="1798" spans="22:22">
      <c r="V1798" t="str">
        <f t="shared" si="28"/>
        <v/>
      </c>
    </row>
    <row r="1799" spans="22:22">
      <c r="V1799" t="str">
        <f t="shared" si="28"/>
        <v/>
      </c>
    </row>
    <row r="1800" spans="22:22">
      <c r="V1800" t="str">
        <f t="shared" si="28"/>
        <v/>
      </c>
    </row>
    <row r="1801" spans="22:22">
      <c r="V1801" t="str">
        <f t="shared" si="28"/>
        <v/>
      </c>
    </row>
    <row r="1802" spans="22:22">
      <c r="V1802" t="str">
        <f t="shared" si="28"/>
        <v/>
      </c>
    </row>
    <row r="1803" spans="22:22">
      <c r="V1803" t="str">
        <f t="shared" si="28"/>
        <v/>
      </c>
    </row>
    <row r="1804" spans="22:22">
      <c r="V1804" t="str">
        <f t="shared" si="28"/>
        <v/>
      </c>
    </row>
    <row r="1805" spans="22:22">
      <c r="V1805" t="str">
        <f t="shared" si="28"/>
        <v/>
      </c>
    </row>
    <row r="1806" spans="22:22">
      <c r="V1806" t="str">
        <f t="shared" si="28"/>
        <v/>
      </c>
    </row>
    <row r="1807" spans="22:22">
      <c r="V1807" t="str">
        <f t="shared" si="28"/>
        <v/>
      </c>
    </row>
    <row r="1808" spans="22:22">
      <c r="V1808" t="str">
        <f t="shared" si="28"/>
        <v/>
      </c>
    </row>
    <row r="1809" spans="22:22">
      <c r="V1809" t="str">
        <f t="shared" si="28"/>
        <v/>
      </c>
    </row>
    <row r="1810" spans="22:22">
      <c r="V1810" t="str">
        <f t="shared" si="28"/>
        <v/>
      </c>
    </row>
    <row r="1811" spans="22:22">
      <c r="V1811" t="str">
        <f t="shared" si="28"/>
        <v/>
      </c>
    </row>
    <row r="1812" spans="22:22">
      <c r="V1812" t="str">
        <f t="shared" si="28"/>
        <v/>
      </c>
    </row>
    <row r="1813" spans="22:22">
      <c r="V1813" t="str">
        <f t="shared" si="28"/>
        <v/>
      </c>
    </row>
    <row r="1814" spans="22:22">
      <c r="V1814" t="str">
        <f t="shared" si="28"/>
        <v/>
      </c>
    </row>
    <row r="1815" spans="22:22">
      <c r="V1815" t="str">
        <f t="shared" si="28"/>
        <v/>
      </c>
    </row>
    <row r="1816" spans="22:22">
      <c r="V1816" t="str">
        <f t="shared" si="28"/>
        <v/>
      </c>
    </row>
    <row r="1817" spans="22:22">
      <c r="V1817" t="str">
        <f t="shared" si="28"/>
        <v/>
      </c>
    </row>
    <row r="1818" spans="22:22">
      <c r="V1818" t="str">
        <f t="shared" si="28"/>
        <v/>
      </c>
    </row>
    <row r="1819" spans="22:22">
      <c r="V1819" t="str">
        <f t="shared" si="28"/>
        <v/>
      </c>
    </row>
    <row r="1820" spans="22:22">
      <c r="V1820" t="str">
        <f t="shared" si="28"/>
        <v/>
      </c>
    </row>
    <row r="1821" spans="22:22">
      <c r="V1821" t="str">
        <f t="shared" si="28"/>
        <v/>
      </c>
    </row>
    <row r="1822" spans="22:22">
      <c r="V1822" t="str">
        <f t="shared" si="28"/>
        <v/>
      </c>
    </row>
    <row r="1823" spans="22:22">
      <c r="V1823" t="str">
        <f t="shared" si="28"/>
        <v/>
      </c>
    </row>
    <row r="1824" spans="22:22">
      <c r="V1824" t="str">
        <f t="shared" si="28"/>
        <v/>
      </c>
    </row>
    <row r="1825" spans="22:22">
      <c r="V1825" t="str">
        <f t="shared" si="28"/>
        <v/>
      </c>
    </row>
    <row r="1826" spans="22:22">
      <c r="V1826" t="str">
        <f t="shared" si="28"/>
        <v/>
      </c>
    </row>
    <row r="1827" spans="22:22">
      <c r="V1827" t="str">
        <f t="shared" si="28"/>
        <v/>
      </c>
    </row>
    <row r="1828" spans="22:22">
      <c r="V1828" t="str">
        <f t="shared" si="28"/>
        <v/>
      </c>
    </row>
    <row r="1829" spans="22:22">
      <c r="V1829" t="str">
        <f t="shared" si="28"/>
        <v/>
      </c>
    </row>
    <row r="1830" spans="22:22">
      <c r="V1830" t="str">
        <f t="shared" si="28"/>
        <v/>
      </c>
    </row>
    <row r="1831" spans="22:22">
      <c r="V1831" t="str">
        <f t="shared" si="28"/>
        <v/>
      </c>
    </row>
    <row r="1832" spans="22:22">
      <c r="V1832" t="str">
        <f t="shared" si="28"/>
        <v/>
      </c>
    </row>
    <row r="1833" spans="22:22">
      <c r="V1833" t="str">
        <f t="shared" si="28"/>
        <v/>
      </c>
    </row>
    <row r="1834" spans="22:22">
      <c r="V1834" t="str">
        <f t="shared" si="28"/>
        <v/>
      </c>
    </row>
    <row r="1835" spans="22:22">
      <c r="V1835" t="str">
        <f t="shared" si="28"/>
        <v/>
      </c>
    </row>
    <row r="1836" spans="22:22">
      <c r="V1836" t="str">
        <f t="shared" si="28"/>
        <v/>
      </c>
    </row>
    <row r="1837" spans="22:22">
      <c r="V1837" t="str">
        <f t="shared" si="28"/>
        <v/>
      </c>
    </row>
    <row r="1838" spans="22:22">
      <c r="V1838" t="str">
        <f t="shared" si="28"/>
        <v/>
      </c>
    </row>
    <row r="1839" spans="22:22">
      <c r="V1839" t="str">
        <f t="shared" si="28"/>
        <v/>
      </c>
    </row>
    <row r="1840" spans="22:22">
      <c r="V1840" t="str">
        <f t="shared" si="28"/>
        <v/>
      </c>
    </row>
    <row r="1841" spans="22:22">
      <c r="V1841" t="str">
        <f t="shared" si="28"/>
        <v/>
      </c>
    </row>
    <row r="1842" spans="22:22">
      <c r="V1842" t="str">
        <f t="shared" si="28"/>
        <v/>
      </c>
    </row>
    <row r="1843" spans="22:22">
      <c r="V1843" t="str">
        <f t="shared" si="28"/>
        <v/>
      </c>
    </row>
    <row r="1844" spans="22:22">
      <c r="V1844" t="str">
        <f t="shared" si="28"/>
        <v/>
      </c>
    </row>
    <row r="1845" spans="22:22">
      <c r="V1845" t="str">
        <f t="shared" si="28"/>
        <v/>
      </c>
    </row>
    <row r="1846" spans="22:22">
      <c r="V1846" t="str">
        <f t="shared" si="28"/>
        <v/>
      </c>
    </row>
    <row r="1847" spans="22:22">
      <c r="V1847" t="str">
        <f t="shared" si="28"/>
        <v/>
      </c>
    </row>
    <row r="1848" spans="22:22">
      <c r="V1848" t="str">
        <f t="shared" si="28"/>
        <v/>
      </c>
    </row>
    <row r="1849" spans="22:22">
      <c r="V1849" t="str">
        <f t="shared" si="28"/>
        <v/>
      </c>
    </row>
    <row r="1850" spans="22:22">
      <c r="V1850" t="str">
        <f t="shared" si="28"/>
        <v/>
      </c>
    </row>
    <row r="1851" spans="22:22">
      <c r="V1851" t="str">
        <f t="shared" si="28"/>
        <v/>
      </c>
    </row>
    <row r="1852" spans="22:22">
      <c r="V1852" t="str">
        <f t="shared" si="28"/>
        <v/>
      </c>
    </row>
    <row r="1853" spans="22:22">
      <c r="V1853" t="str">
        <f t="shared" si="28"/>
        <v/>
      </c>
    </row>
    <row r="1854" spans="22:22">
      <c r="V1854" t="str">
        <f t="shared" si="28"/>
        <v/>
      </c>
    </row>
    <row r="1855" spans="22:22">
      <c r="V1855" t="str">
        <f t="shared" si="28"/>
        <v/>
      </c>
    </row>
    <row r="1856" spans="22:22">
      <c r="V1856" t="str">
        <f t="shared" si="28"/>
        <v/>
      </c>
    </row>
    <row r="1857" spans="22:22">
      <c r="V1857" t="str">
        <f t="shared" si="28"/>
        <v/>
      </c>
    </row>
    <row r="1858" spans="22:22">
      <c r="V1858" t="str">
        <f t="shared" si="28"/>
        <v/>
      </c>
    </row>
    <row r="1859" spans="22:22">
      <c r="V1859" t="str">
        <f t="shared" ref="V1859:V1922" si="29">IF(W1859="","",W1859&amp;" &lt;&lt;&lt;&gt;&gt;&gt; "&amp;X1859)</f>
        <v/>
      </c>
    </row>
    <row r="1860" spans="22:22">
      <c r="V1860" t="str">
        <f t="shared" si="29"/>
        <v/>
      </c>
    </row>
    <row r="1861" spans="22:22">
      <c r="V1861" t="str">
        <f t="shared" si="29"/>
        <v/>
      </c>
    </row>
    <row r="1862" spans="22:22">
      <c r="V1862" t="str">
        <f t="shared" si="29"/>
        <v/>
      </c>
    </row>
    <row r="1863" spans="22:22">
      <c r="V1863" t="str">
        <f t="shared" si="29"/>
        <v/>
      </c>
    </row>
    <row r="1864" spans="22:22">
      <c r="V1864" t="str">
        <f t="shared" si="29"/>
        <v/>
      </c>
    </row>
    <row r="1865" spans="22:22">
      <c r="V1865" t="str">
        <f t="shared" si="29"/>
        <v/>
      </c>
    </row>
    <row r="1866" spans="22:22">
      <c r="V1866" t="str">
        <f t="shared" si="29"/>
        <v/>
      </c>
    </row>
    <row r="1867" spans="22:22">
      <c r="V1867" t="str">
        <f t="shared" si="29"/>
        <v/>
      </c>
    </row>
    <row r="1868" spans="22:22">
      <c r="V1868" t="str">
        <f t="shared" si="29"/>
        <v/>
      </c>
    </row>
    <row r="1869" spans="22:22">
      <c r="V1869" t="str">
        <f t="shared" si="29"/>
        <v/>
      </c>
    </row>
    <row r="1870" spans="22:22">
      <c r="V1870" t="str">
        <f t="shared" si="29"/>
        <v/>
      </c>
    </row>
    <row r="1871" spans="22:22">
      <c r="V1871" t="str">
        <f t="shared" si="29"/>
        <v/>
      </c>
    </row>
    <row r="1872" spans="22:22">
      <c r="V1872" t="str">
        <f t="shared" si="29"/>
        <v/>
      </c>
    </row>
    <row r="1873" spans="22:22">
      <c r="V1873" t="str">
        <f t="shared" si="29"/>
        <v/>
      </c>
    </row>
    <row r="1874" spans="22:22">
      <c r="V1874" t="str">
        <f t="shared" si="29"/>
        <v/>
      </c>
    </row>
    <row r="1875" spans="22:22">
      <c r="V1875" t="str">
        <f t="shared" si="29"/>
        <v/>
      </c>
    </row>
    <row r="1876" spans="22:22">
      <c r="V1876" t="str">
        <f t="shared" si="29"/>
        <v/>
      </c>
    </row>
    <row r="1877" spans="22:22">
      <c r="V1877" t="str">
        <f t="shared" si="29"/>
        <v/>
      </c>
    </row>
    <row r="1878" spans="22:22">
      <c r="V1878" t="str">
        <f t="shared" si="29"/>
        <v/>
      </c>
    </row>
    <row r="1879" spans="22:22">
      <c r="V1879" t="str">
        <f t="shared" si="29"/>
        <v/>
      </c>
    </row>
    <row r="1880" spans="22:22">
      <c r="V1880" t="str">
        <f t="shared" si="29"/>
        <v/>
      </c>
    </row>
    <row r="1881" spans="22:22">
      <c r="V1881" t="str">
        <f t="shared" si="29"/>
        <v/>
      </c>
    </row>
    <row r="1882" spans="22:22">
      <c r="V1882" t="str">
        <f t="shared" si="29"/>
        <v/>
      </c>
    </row>
    <row r="1883" spans="22:22">
      <c r="V1883" t="str">
        <f t="shared" si="29"/>
        <v/>
      </c>
    </row>
    <row r="1884" spans="22:22">
      <c r="V1884" t="str">
        <f t="shared" si="29"/>
        <v/>
      </c>
    </row>
    <row r="1885" spans="22:22">
      <c r="V1885" t="str">
        <f t="shared" si="29"/>
        <v/>
      </c>
    </row>
    <row r="1886" spans="22:22">
      <c r="V1886" t="str">
        <f t="shared" si="29"/>
        <v/>
      </c>
    </row>
    <row r="1887" spans="22:22">
      <c r="V1887" t="str">
        <f t="shared" si="29"/>
        <v/>
      </c>
    </row>
    <row r="1888" spans="22:22">
      <c r="V1888" t="str">
        <f t="shared" si="29"/>
        <v/>
      </c>
    </row>
    <row r="1889" spans="22:22">
      <c r="V1889" t="str">
        <f t="shared" si="29"/>
        <v/>
      </c>
    </row>
    <row r="1890" spans="22:22">
      <c r="V1890" t="str">
        <f t="shared" si="29"/>
        <v/>
      </c>
    </row>
    <row r="1891" spans="22:22">
      <c r="V1891" t="str">
        <f t="shared" si="29"/>
        <v/>
      </c>
    </row>
    <row r="1892" spans="22:22">
      <c r="V1892" t="str">
        <f t="shared" si="29"/>
        <v/>
      </c>
    </row>
    <row r="1893" spans="22:22">
      <c r="V1893" t="str">
        <f t="shared" si="29"/>
        <v/>
      </c>
    </row>
    <row r="1894" spans="22:22">
      <c r="V1894" t="str">
        <f t="shared" si="29"/>
        <v/>
      </c>
    </row>
    <row r="1895" spans="22:22">
      <c r="V1895" t="str">
        <f t="shared" si="29"/>
        <v/>
      </c>
    </row>
    <row r="1896" spans="22:22">
      <c r="V1896" t="str">
        <f t="shared" si="29"/>
        <v/>
      </c>
    </row>
    <row r="1897" spans="22:22">
      <c r="V1897" t="str">
        <f t="shared" si="29"/>
        <v/>
      </c>
    </row>
    <row r="1898" spans="22:22">
      <c r="V1898" t="str">
        <f t="shared" si="29"/>
        <v/>
      </c>
    </row>
    <row r="1899" spans="22:22">
      <c r="V1899" t="str">
        <f t="shared" si="29"/>
        <v/>
      </c>
    </row>
    <row r="1900" spans="22:22">
      <c r="V1900" t="str">
        <f t="shared" si="29"/>
        <v/>
      </c>
    </row>
    <row r="1901" spans="22:22">
      <c r="V1901" t="str">
        <f t="shared" si="29"/>
        <v/>
      </c>
    </row>
    <row r="1902" spans="22:22">
      <c r="V1902" t="str">
        <f t="shared" si="29"/>
        <v/>
      </c>
    </row>
    <row r="1903" spans="22:22">
      <c r="V1903" t="str">
        <f t="shared" si="29"/>
        <v/>
      </c>
    </row>
    <row r="1904" spans="22:22">
      <c r="V1904" t="str">
        <f t="shared" si="29"/>
        <v/>
      </c>
    </row>
    <row r="1905" spans="22:22">
      <c r="V1905" t="str">
        <f t="shared" si="29"/>
        <v/>
      </c>
    </row>
    <row r="1906" spans="22:22">
      <c r="V1906" t="str">
        <f t="shared" si="29"/>
        <v/>
      </c>
    </row>
    <row r="1907" spans="22:22">
      <c r="V1907" t="str">
        <f t="shared" si="29"/>
        <v/>
      </c>
    </row>
    <row r="1908" spans="22:22">
      <c r="V1908" t="str">
        <f t="shared" si="29"/>
        <v/>
      </c>
    </row>
    <row r="1909" spans="22:22">
      <c r="V1909" t="str">
        <f t="shared" si="29"/>
        <v/>
      </c>
    </row>
    <row r="1910" spans="22:22">
      <c r="V1910" t="str">
        <f t="shared" si="29"/>
        <v/>
      </c>
    </row>
    <row r="1911" spans="22:22">
      <c r="V1911" t="str">
        <f t="shared" si="29"/>
        <v/>
      </c>
    </row>
    <row r="1912" spans="22:22">
      <c r="V1912" t="str">
        <f t="shared" si="29"/>
        <v/>
      </c>
    </row>
    <row r="1913" spans="22:22">
      <c r="V1913" t="str">
        <f t="shared" si="29"/>
        <v/>
      </c>
    </row>
    <row r="1914" spans="22:22">
      <c r="V1914" t="str">
        <f t="shared" si="29"/>
        <v/>
      </c>
    </row>
    <row r="1915" spans="22:22">
      <c r="V1915" t="str">
        <f t="shared" si="29"/>
        <v/>
      </c>
    </row>
    <row r="1916" spans="22:22">
      <c r="V1916" t="str">
        <f t="shared" si="29"/>
        <v/>
      </c>
    </row>
    <row r="1917" spans="22:22">
      <c r="V1917" t="str">
        <f t="shared" si="29"/>
        <v/>
      </c>
    </row>
    <row r="1918" spans="22:22">
      <c r="V1918" t="str">
        <f t="shared" si="29"/>
        <v/>
      </c>
    </row>
    <row r="1919" spans="22:22">
      <c r="V1919" t="str">
        <f t="shared" si="29"/>
        <v/>
      </c>
    </row>
    <row r="1920" spans="22:22">
      <c r="V1920" t="str">
        <f t="shared" si="29"/>
        <v/>
      </c>
    </row>
    <row r="1921" spans="22:22">
      <c r="V1921" t="str">
        <f t="shared" si="29"/>
        <v/>
      </c>
    </row>
    <row r="1922" spans="22:22">
      <c r="V1922" t="str">
        <f t="shared" si="29"/>
        <v/>
      </c>
    </row>
    <row r="1923" spans="22:22">
      <c r="V1923" t="str">
        <f t="shared" ref="V1923:V1986" si="30">IF(W1923="","",W1923&amp;" &lt;&lt;&lt;&gt;&gt;&gt; "&amp;X1923)</f>
        <v/>
      </c>
    </row>
    <row r="1924" spans="22:22">
      <c r="V1924" t="str">
        <f t="shared" si="30"/>
        <v/>
      </c>
    </row>
    <row r="1925" spans="22:22">
      <c r="V1925" t="str">
        <f t="shared" si="30"/>
        <v/>
      </c>
    </row>
    <row r="1926" spans="22:22">
      <c r="V1926" t="str">
        <f t="shared" si="30"/>
        <v/>
      </c>
    </row>
    <row r="1927" spans="22:22">
      <c r="V1927" t="str">
        <f t="shared" si="30"/>
        <v/>
      </c>
    </row>
    <row r="1928" spans="22:22">
      <c r="V1928" t="str">
        <f t="shared" si="30"/>
        <v/>
      </c>
    </row>
    <row r="1929" spans="22:22">
      <c r="V1929" t="str">
        <f t="shared" si="30"/>
        <v/>
      </c>
    </row>
    <row r="1930" spans="22:22">
      <c r="V1930" t="str">
        <f t="shared" si="30"/>
        <v/>
      </c>
    </row>
    <row r="1931" spans="22:22">
      <c r="V1931" t="str">
        <f t="shared" si="30"/>
        <v/>
      </c>
    </row>
    <row r="1932" spans="22:22">
      <c r="V1932" t="str">
        <f t="shared" si="30"/>
        <v/>
      </c>
    </row>
    <row r="1933" spans="22:22">
      <c r="V1933" t="str">
        <f t="shared" si="30"/>
        <v/>
      </c>
    </row>
    <row r="1934" spans="22:22">
      <c r="V1934" t="str">
        <f t="shared" si="30"/>
        <v/>
      </c>
    </row>
    <row r="1935" spans="22:22">
      <c r="V1935" t="str">
        <f t="shared" si="30"/>
        <v/>
      </c>
    </row>
    <row r="1936" spans="22:22">
      <c r="V1936" t="str">
        <f t="shared" si="30"/>
        <v/>
      </c>
    </row>
    <row r="1937" spans="22:22">
      <c r="V1937" t="str">
        <f t="shared" si="30"/>
        <v/>
      </c>
    </row>
    <row r="1938" spans="22:22">
      <c r="V1938" t="str">
        <f t="shared" si="30"/>
        <v/>
      </c>
    </row>
    <row r="1939" spans="22:22">
      <c r="V1939" t="str">
        <f t="shared" si="30"/>
        <v/>
      </c>
    </row>
    <row r="1940" spans="22:22">
      <c r="V1940" t="str">
        <f t="shared" si="30"/>
        <v/>
      </c>
    </row>
    <row r="1941" spans="22:22">
      <c r="V1941" t="str">
        <f t="shared" si="30"/>
        <v/>
      </c>
    </row>
    <row r="1942" spans="22:22">
      <c r="V1942" t="str">
        <f t="shared" si="30"/>
        <v/>
      </c>
    </row>
    <row r="1943" spans="22:22">
      <c r="V1943" t="str">
        <f t="shared" si="30"/>
        <v/>
      </c>
    </row>
    <row r="1944" spans="22:22">
      <c r="V1944" t="str">
        <f t="shared" si="30"/>
        <v/>
      </c>
    </row>
    <row r="1945" spans="22:22">
      <c r="V1945" t="str">
        <f t="shared" si="30"/>
        <v/>
      </c>
    </row>
    <row r="1946" spans="22:22">
      <c r="V1946" t="str">
        <f t="shared" si="30"/>
        <v/>
      </c>
    </row>
    <row r="1947" spans="22:22">
      <c r="V1947" t="str">
        <f t="shared" si="30"/>
        <v/>
      </c>
    </row>
    <row r="1948" spans="22:22">
      <c r="V1948" t="str">
        <f t="shared" si="30"/>
        <v/>
      </c>
    </row>
    <row r="1949" spans="22:22">
      <c r="V1949" t="str">
        <f t="shared" si="30"/>
        <v/>
      </c>
    </row>
    <row r="1950" spans="22:22">
      <c r="V1950" t="str">
        <f t="shared" si="30"/>
        <v/>
      </c>
    </row>
    <row r="1951" spans="22:22">
      <c r="V1951" t="str">
        <f t="shared" si="30"/>
        <v/>
      </c>
    </row>
    <row r="1952" spans="22:22">
      <c r="V1952" t="str">
        <f t="shared" si="30"/>
        <v/>
      </c>
    </row>
    <row r="1953" spans="22:22">
      <c r="V1953" t="str">
        <f t="shared" si="30"/>
        <v/>
      </c>
    </row>
    <row r="1954" spans="22:22">
      <c r="V1954" t="str">
        <f t="shared" si="30"/>
        <v/>
      </c>
    </row>
    <row r="1955" spans="22:22">
      <c r="V1955" t="str">
        <f t="shared" si="30"/>
        <v/>
      </c>
    </row>
    <row r="1956" spans="22:22">
      <c r="V1956" t="str">
        <f t="shared" si="30"/>
        <v/>
      </c>
    </row>
    <row r="1957" spans="22:22">
      <c r="V1957" t="str">
        <f t="shared" si="30"/>
        <v/>
      </c>
    </row>
    <row r="1958" spans="22:22">
      <c r="V1958" t="str">
        <f t="shared" si="30"/>
        <v/>
      </c>
    </row>
    <row r="1959" spans="22:22">
      <c r="V1959" t="str">
        <f t="shared" si="30"/>
        <v/>
      </c>
    </row>
    <row r="1960" spans="22:22">
      <c r="V1960" t="str">
        <f t="shared" si="30"/>
        <v/>
      </c>
    </row>
    <row r="1961" spans="22:22">
      <c r="V1961" t="str">
        <f t="shared" si="30"/>
        <v/>
      </c>
    </row>
    <row r="1962" spans="22:22">
      <c r="V1962" t="str">
        <f t="shared" si="30"/>
        <v/>
      </c>
    </row>
    <row r="1963" spans="22:22">
      <c r="V1963" t="str">
        <f t="shared" si="30"/>
        <v/>
      </c>
    </row>
    <row r="1964" spans="22:22">
      <c r="V1964" t="str">
        <f t="shared" si="30"/>
        <v/>
      </c>
    </row>
    <row r="1965" spans="22:22">
      <c r="V1965" t="str">
        <f t="shared" si="30"/>
        <v/>
      </c>
    </row>
    <row r="1966" spans="22:22">
      <c r="V1966" t="str">
        <f t="shared" si="30"/>
        <v/>
      </c>
    </row>
    <row r="1967" spans="22:22">
      <c r="V1967" t="str">
        <f t="shared" si="30"/>
        <v/>
      </c>
    </row>
    <row r="1968" spans="22:22">
      <c r="V1968" t="str">
        <f t="shared" si="30"/>
        <v/>
      </c>
    </row>
    <row r="1969" spans="22:22">
      <c r="V1969" t="str">
        <f t="shared" si="30"/>
        <v/>
      </c>
    </row>
    <row r="1970" spans="22:22">
      <c r="V1970" t="str">
        <f t="shared" si="30"/>
        <v/>
      </c>
    </row>
    <row r="1971" spans="22:22">
      <c r="V1971" t="str">
        <f t="shared" si="30"/>
        <v/>
      </c>
    </row>
    <row r="1972" spans="22:22">
      <c r="V1972" t="str">
        <f t="shared" si="30"/>
        <v/>
      </c>
    </row>
    <row r="1973" spans="22:22">
      <c r="V1973" t="str">
        <f t="shared" si="30"/>
        <v/>
      </c>
    </row>
    <row r="1974" spans="22:22">
      <c r="V1974" t="str">
        <f t="shared" si="30"/>
        <v/>
      </c>
    </row>
    <row r="1975" spans="22:22">
      <c r="V1975" t="str">
        <f t="shared" si="30"/>
        <v/>
      </c>
    </row>
    <row r="1976" spans="22:22">
      <c r="V1976" t="str">
        <f t="shared" si="30"/>
        <v/>
      </c>
    </row>
    <row r="1977" spans="22:22">
      <c r="V1977" t="str">
        <f t="shared" si="30"/>
        <v/>
      </c>
    </row>
    <row r="1978" spans="22:22">
      <c r="V1978" t="str">
        <f t="shared" si="30"/>
        <v/>
      </c>
    </row>
    <row r="1979" spans="22:22">
      <c r="V1979" t="str">
        <f t="shared" si="30"/>
        <v/>
      </c>
    </row>
    <row r="1980" spans="22:22">
      <c r="V1980" t="str">
        <f t="shared" si="30"/>
        <v/>
      </c>
    </row>
    <row r="1981" spans="22:22">
      <c r="V1981" t="str">
        <f t="shared" si="30"/>
        <v/>
      </c>
    </row>
    <row r="1982" spans="22:22">
      <c r="V1982" t="str">
        <f t="shared" si="30"/>
        <v/>
      </c>
    </row>
    <row r="1983" spans="22:22">
      <c r="V1983" t="str">
        <f t="shared" si="30"/>
        <v/>
      </c>
    </row>
    <row r="1984" spans="22:22">
      <c r="V1984" t="str">
        <f t="shared" si="30"/>
        <v/>
      </c>
    </row>
    <row r="1985" spans="22:22">
      <c r="V1985" t="str">
        <f t="shared" si="30"/>
        <v/>
      </c>
    </row>
    <row r="1986" spans="22:22">
      <c r="V1986" t="str">
        <f t="shared" si="30"/>
        <v/>
      </c>
    </row>
    <row r="1987" spans="22:22">
      <c r="V1987" t="str">
        <f t="shared" ref="V1987:V2001" si="31">IF(W1987="","",W1987&amp;" &lt;&lt;&lt;&gt;&gt;&gt; "&amp;X1987)</f>
        <v/>
      </c>
    </row>
    <row r="1988" spans="22:22">
      <c r="V1988" t="str">
        <f t="shared" si="31"/>
        <v/>
      </c>
    </row>
    <row r="1989" spans="22:22">
      <c r="V1989" t="str">
        <f t="shared" si="31"/>
        <v/>
      </c>
    </row>
    <row r="1990" spans="22:22">
      <c r="V1990" t="str">
        <f t="shared" si="31"/>
        <v/>
      </c>
    </row>
    <row r="1991" spans="22:22">
      <c r="V1991" t="str">
        <f t="shared" si="31"/>
        <v/>
      </c>
    </row>
    <row r="1992" spans="22:22">
      <c r="V1992" t="str">
        <f t="shared" si="31"/>
        <v/>
      </c>
    </row>
    <row r="1993" spans="22:22">
      <c r="V1993" t="str">
        <f t="shared" si="31"/>
        <v/>
      </c>
    </row>
    <row r="1994" spans="22:22">
      <c r="V1994" t="str">
        <f t="shared" si="31"/>
        <v/>
      </c>
    </row>
    <row r="1995" spans="22:22">
      <c r="V1995" t="str">
        <f t="shared" si="31"/>
        <v/>
      </c>
    </row>
    <row r="1996" spans="22:22">
      <c r="V1996" t="str">
        <f t="shared" si="31"/>
        <v/>
      </c>
    </row>
    <row r="1997" spans="22:22">
      <c r="V1997" t="str">
        <f t="shared" si="31"/>
        <v/>
      </c>
    </row>
    <row r="1998" spans="22:22">
      <c r="V1998" t="str">
        <f t="shared" si="31"/>
        <v/>
      </c>
    </row>
    <row r="1999" spans="22:22">
      <c r="V1999" t="str">
        <f t="shared" si="31"/>
        <v/>
      </c>
    </row>
    <row r="2000" spans="22:22">
      <c r="V2000" t="str">
        <f t="shared" si="31"/>
        <v/>
      </c>
    </row>
    <row r="2001" spans="22:22">
      <c r="V2001" t="str">
        <f t="shared" si="31"/>
        <v/>
      </c>
    </row>
  </sheetData>
  <phoneticPr fontId="0" type="noConversion"/>
  <pageMargins left="0.5" right="0.5" top="0.5" bottom="0.5" header="0.5" footer="0.5"/>
  <pageSetup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1">
    <tabColor indexed="14"/>
  </sheetPr>
  <dimension ref="B1:K21"/>
  <sheetViews>
    <sheetView showGridLines="0" showRowColHeaders="0" zoomScale="75" workbookViewId="0">
      <selection activeCell="E8" sqref="E8"/>
    </sheetView>
  </sheetViews>
  <sheetFormatPr defaultColWidth="9.81640625" defaultRowHeight="15"/>
  <cols>
    <col min="1" max="1" width="1.81640625" customWidth="1"/>
    <col min="2" max="2" width="6.81640625" customWidth="1"/>
    <col min="3" max="3" width="10.81640625" customWidth="1"/>
    <col min="4" max="4" width="6.81640625" customWidth="1"/>
    <col min="5" max="5" width="10.81640625" customWidth="1"/>
    <col min="6" max="6" width="6.81640625" customWidth="1"/>
    <col min="8" max="8" width="10.81640625" customWidth="1"/>
    <col min="9" max="9" width="5.81640625" customWidth="1"/>
    <col min="11" max="11" width="10.81640625" customWidth="1"/>
  </cols>
  <sheetData>
    <row r="1" spans="2:11" ht="23.4" thickTop="1">
      <c r="B1" s="33" t="s">
        <v>0</v>
      </c>
      <c r="C1" s="8"/>
      <c r="D1" s="8"/>
      <c r="E1" s="8"/>
      <c r="F1" s="25" t="s">
        <v>1</v>
      </c>
      <c r="G1" s="25"/>
      <c r="H1" s="25"/>
      <c r="I1" s="25"/>
      <c r="J1" s="25"/>
      <c r="K1" s="26"/>
    </row>
    <row r="2" spans="2:11">
      <c r="B2" s="34" t="s">
        <v>2</v>
      </c>
      <c r="C2" s="35"/>
      <c r="D2" s="11"/>
      <c r="E2" s="11"/>
      <c r="F2" s="18"/>
      <c r="G2" s="18"/>
      <c r="H2" s="18"/>
      <c r="I2" s="18"/>
      <c r="J2" s="18"/>
      <c r="K2" s="19"/>
    </row>
    <row r="3" spans="2:11">
      <c r="B3" s="36" t="s">
        <v>3</v>
      </c>
      <c r="C3" s="37" t="s">
        <v>4</v>
      </c>
      <c r="D3" s="77" t="s">
        <v>3</v>
      </c>
      <c r="E3" s="78" t="s">
        <v>4</v>
      </c>
      <c r="F3" s="18"/>
      <c r="G3" s="38" t="s">
        <v>5</v>
      </c>
      <c r="H3" s="18"/>
      <c r="I3" s="39"/>
      <c r="J3" s="47" t="s">
        <v>6</v>
      </c>
      <c r="K3" s="32"/>
    </row>
    <row r="4" spans="2:11">
      <c r="B4" s="14"/>
      <c r="C4" s="76">
        <v>8777</v>
      </c>
      <c r="D4" s="135"/>
      <c r="E4" s="76">
        <v>877</v>
      </c>
      <c r="F4" s="18"/>
      <c r="G4" s="38" t="s">
        <v>7</v>
      </c>
      <c r="H4" s="45">
        <v>876</v>
      </c>
      <c r="I4" s="39"/>
      <c r="J4" s="47" t="s">
        <v>8</v>
      </c>
      <c r="K4" s="46"/>
    </row>
    <row r="5" spans="2:11">
      <c r="B5" s="14"/>
      <c r="C5" s="76"/>
      <c r="D5" s="135"/>
      <c r="E5" s="76"/>
      <c r="F5" s="18"/>
      <c r="G5" s="18"/>
      <c r="H5" s="18"/>
      <c r="I5" s="39"/>
      <c r="J5" s="31"/>
      <c r="K5" s="32"/>
    </row>
    <row r="6" spans="2:11">
      <c r="B6" s="14"/>
      <c r="C6" s="76"/>
      <c r="D6" s="135"/>
      <c r="E6" s="76"/>
      <c r="F6" s="18"/>
      <c r="G6" s="18"/>
      <c r="H6" s="45"/>
      <c r="I6" s="39"/>
      <c r="J6" s="31"/>
      <c r="K6" s="32"/>
    </row>
    <row r="7" spans="2:11">
      <c r="B7" s="14"/>
      <c r="C7" s="76"/>
      <c r="D7" s="135"/>
      <c r="E7" s="76"/>
      <c r="F7" s="18"/>
      <c r="G7" s="18"/>
      <c r="H7" s="45"/>
      <c r="I7" s="39"/>
      <c r="J7" s="47" t="s">
        <v>9</v>
      </c>
      <c r="K7" s="32"/>
    </row>
    <row r="8" spans="2:11">
      <c r="B8" s="14"/>
      <c r="C8" s="76"/>
      <c r="D8" s="135"/>
      <c r="E8" s="76"/>
      <c r="F8" s="18"/>
      <c r="G8" s="38" t="s">
        <v>10</v>
      </c>
      <c r="H8" s="45"/>
      <c r="I8" s="39"/>
      <c r="J8" s="47" t="s">
        <v>11</v>
      </c>
      <c r="K8" s="46"/>
    </row>
    <row r="9" spans="2:11">
      <c r="B9" s="14"/>
      <c r="C9" s="76"/>
      <c r="D9" s="135"/>
      <c r="E9" s="76"/>
      <c r="F9" s="18"/>
      <c r="G9" s="38" t="s">
        <v>12</v>
      </c>
      <c r="H9" s="45"/>
      <c r="I9" s="39"/>
      <c r="J9" s="31"/>
      <c r="K9" s="32"/>
    </row>
    <row r="10" spans="2:11">
      <c r="B10" s="14"/>
      <c r="C10" s="76"/>
      <c r="D10" s="135"/>
      <c r="E10" s="76"/>
      <c r="F10" s="18"/>
      <c r="G10" s="18"/>
      <c r="H10" s="45"/>
      <c r="I10" s="39"/>
      <c r="J10" s="31"/>
      <c r="K10" s="32"/>
    </row>
    <row r="11" spans="2:11">
      <c r="B11" s="14"/>
      <c r="C11" s="76"/>
      <c r="D11" s="135"/>
      <c r="E11" s="76"/>
      <c r="F11" s="18"/>
      <c r="G11" s="18"/>
      <c r="H11" s="45"/>
      <c r="I11" s="39"/>
      <c r="J11" s="47" t="s">
        <v>13</v>
      </c>
      <c r="K11" s="46"/>
    </row>
    <row r="12" spans="2:11">
      <c r="B12" s="14"/>
      <c r="C12" s="76"/>
      <c r="D12" s="135"/>
      <c r="E12" s="76"/>
      <c r="F12" s="18"/>
      <c r="G12" s="18"/>
      <c r="H12" s="18"/>
      <c r="I12" s="39"/>
      <c r="J12" s="31"/>
      <c r="K12" s="32"/>
    </row>
    <row r="13" spans="2:11">
      <c r="B13" s="14"/>
      <c r="C13" s="76"/>
      <c r="D13" s="135"/>
      <c r="E13" s="76"/>
      <c r="F13" s="18"/>
      <c r="G13" s="38" t="s">
        <v>14</v>
      </c>
      <c r="H13" s="18"/>
      <c r="I13" s="39"/>
      <c r="J13" s="31"/>
      <c r="K13" s="32"/>
    </row>
    <row r="14" spans="2:11">
      <c r="B14" s="14"/>
      <c r="C14" s="76"/>
      <c r="D14" s="135"/>
      <c r="E14" s="76"/>
      <c r="F14" s="18"/>
      <c r="G14" s="38" t="s">
        <v>12</v>
      </c>
      <c r="H14" s="28">
        <f>SUM(H6:H11)</f>
        <v>0</v>
      </c>
      <c r="I14" s="39"/>
      <c r="J14" s="31"/>
      <c r="K14" s="32"/>
    </row>
    <row r="15" spans="2:11">
      <c r="B15" s="14"/>
      <c r="C15" s="76"/>
      <c r="D15" s="135"/>
      <c r="E15" s="76"/>
      <c r="F15" s="18"/>
      <c r="G15" s="18"/>
      <c r="H15" s="18"/>
      <c r="I15" s="39"/>
      <c r="J15" s="31"/>
      <c r="K15" s="32"/>
    </row>
    <row r="16" spans="2:11">
      <c r="B16" s="14"/>
      <c r="C16" s="76"/>
      <c r="D16" s="135"/>
      <c r="E16" s="76"/>
      <c r="F16" s="18"/>
      <c r="G16" s="38" t="s">
        <v>15</v>
      </c>
      <c r="H16" s="28">
        <f>SUM(H4+H14-E20)</f>
        <v>-8778</v>
      </c>
      <c r="I16" s="39"/>
      <c r="J16" s="47" t="s">
        <v>16</v>
      </c>
      <c r="K16" s="48">
        <f>SUM(K4-K8+K11)</f>
        <v>0</v>
      </c>
    </row>
    <row r="17" spans="2:11">
      <c r="B17" s="14"/>
      <c r="C17" s="76"/>
      <c r="D17" s="135"/>
      <c r="E17" s="76"/>
      <c r="F17" s="18"/>
      <c r="G17" s="18"/>
      <c r="H17" s="18"/>
      <c r="I17" s="39"/>
      <c r="J17" s="31"/>
      <c r="K17" s="32"/>
    </row>
    <row r="18" spans="2:11" ht="15.6">
      <c r="B18" s="14"/>
      <c r="C18" s="76"/>
      <c r="D18" s="135"/>
      <c r="E18" s="76"/>
      <c r="F18" s="18"/>
      <c r="G18" s="18"/>
      <c r="H18" s="40" t="s">
        <v>17</v>
      </c>
      <c r="I18" s="18"/>
      <c r="J18" s="18"/>
      <c r="K18" s="19"/>
    </row>
    <row r="19" spans="2:11" ht="15.6">
      <c r="B19" s="14"/>
      <c r="C19" s="76"/>
      <c r="D19" s="135"/>
      <c r="E19" s="76"/>
      <c r="F19" s="18"/>
      <c r="G19" s="18"/>
      <c r="H19" s="18"/>
      <c r="I19" s="41" t="s">
        <v>18</v>
      </c>
      <c r="J19" s="42">
        <f>SUM(H16-K16)</f>
        <v>-8778</v>
      </c>
      <c r="K19" s="19"/>
    </row>
    <row r="20" spans="2:11" ht="16.2" thickBot="1">
      <c r="B20" s="43"/>
      <c r="C20" s="44"/>
      <c r="D20" s="164" t="s">
        <v>19</v>
      </c>
      <c r="E20" s="44">
        <f>SUM(C4:C19,E4:E19)</f>
        <v>9654</v>
      </c>
      <c r="F20" s="21"/>
      <c r="G20" s="153" t="str">
        <f>IF(J19=0,"",IF(J19&lt;0,"Subtract","Add"))</f>
        <v>Subtract</v>
      </c>
      <c r="H20" s="154">
        <f>IF(J19=0,"",J19)</f>
        <v>-8778</v>
      </c>
      <c r="I20" s="155" t="str">
        <f>IF(J19=0,"",IF(J19&lt;0,"from checkbook","to checkbook"))</f>
        <v>from checkbook</v>
      </c>
      <c r="J20" s="156"/>
      <c r="K20" s="222" t="str">
        <f>IF(K4="","",IF(J19=0,"Checkbook is balanced",""))</f>
        <v/>
      </c>
    </row>
    <row r="21" spans="2:11" ht="15.6" thickTop="1"/>
  </sheetData>
  <sheetProtection sheet="1" objects="1" scenarios="1"/>
  <phoneticPr fontId="0" type="noConversion"/>
  <printOptions horizontalCentered="1" verticalCentered="1" gridLinesSet="0"/>
  <pageMargins left="0.5" right="0.5" top="0.5" bottom="0.5" header="0.5" footer="0.5"/>
  <pageSetup orientation="landscape" blackAndWhite="1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3">
    <tabColor indexed="11"/>
  </sheetPr>
  <dimension ref="A1:I510"/>
  <sheetViews>
    <sheetView showGridLines="0" showRowColHeaders="0" zoomScale="71" zoomScaleNormal="71" workbookViewId="0">
      <pane ySplit="11" topLeftCell="A12" activePane="bottomLeft" state="frozen"/>
      <selection pane="bottomLeft" activeCell="G54" sqref="G54"/>
    </sheetView>
  </sheetViews>
  <sheetFormatPr defaultColWidth="9.81640625" defaultRowHeight="15"/>
  <cols>
    <col min="1" max="1" width="5.36328125" style="173" customWidth="1"/>
    <col min="2" max="2" width="4.81640625" customWidth="1"/>
    <col min="3" max="3" width="12.81640625" customWidth="1"/>
    <col min="4" max="5" width="10.81640625" customWidth="1"/>
    <col min="6" max="6" width="12.81640625" customWidth="1"/>
    <col min="7" max="8" width="13.81640625" customWidth="1"/>
    <col min="9" max="9" width="12.81640625" customWidth="1"/>
  </cols>
  <sheetData>
    <row r="1" spans="1:9" ht="22.8">
      <c r="A1" s="58" t="s">
        <v>20</v>
      </c>
      <c r="B1" s="71"/>
      <c r="C1" s="177"/>
      <c r="D1" s="71"/>
      <c r="E1" s="71"/>
      <c r="F1" s="71"/>
      <c r="G1" s="71"/>
      <c r="H1" s="71"/>
      <c r="I1" s="72"/>
    </row>
    <row r="2" spans="1:9">
      <c r="A2" s="178" t="s">
        <v>21</v>
      </c>
      <c r="B2" s="57"/>
      <c r="C2" s="57"/>
      <c r="D2" s="11"/>
      <c r="E2" s="11"/>
      <c r="F2" s="11"/>
      <c r="G2" s="11"/>
      <c r="H2" s="11"/>
      <c r="I2" s="62"/>
    </row>
    <row r="3" spans="1:9">
      <c r="A3" s="63"/>
      <c r="B3" s="217" t="s">
        <v>22</v>
      </c>
      <c r="C3" s="45"/>
      <c r="D3" s="215" t="s">
        <v>23</v>
      </c>
      <c r="E3" s="18"/>
      <c r="F3" s="18"/>
      <c r="G3" s="28" t="str">
        <f>IF(C5="","",PMT((C4/12)/100,C5,-C3))</f>
        <v/>
      </c>
      <c r="H3" s="215" t="s">
        <v>24</v>
      </c>
      <c r="I3" s="62"/>
    </row>
    <row r="4" spans="1:9">
      <c r="A4" s="63"/>
      <c r="B4" s="217" t="s">
        <v>25</v>
      </c>
      <c r="C4" s="166"/>
      <c r="D4" s="215" t="s">
        <v>26</v>
      </c>
      <c r="E4" s="18"/>
      <c r="F4" s="18"/>
      <c r="G4" s="28" t="str">
        <f>IF(C5="","",SUM(G3*C5-C3))</f>
        <v/>
      </c>
      <c r="H4" s="215" t="s">
        <v>27</v>
      </c>
      <c r="I4" s="65"/>
    </row>
    <row r="5" spans="1:9">
      <c r="A5" s="63"/>
      <c r="B5" s="216"/>
      <c r="C5" s="3"/>
      <c r="D5" s="215" t="s">
        <v>28</v>
      </c>
      <c r="E5" s="18"/>
      <c r="F5" s="18"/>
      <c r="G5" s="28" t="str">
        <f>IF(C5="","",SUM(G3*C5))</f>
        <v/>
      </c>
      <c r="H5" s="215" t="s">
        <v>29</v>
      </c>
      <c r="I5" s="65"/>
    </row>
    <row r="6" spans="1:9">
      <c r="A6" s="63"/>
      <c r="B6" s="217" t="s">
        <v>30</v>
      </c>
      <c r="C6" s="172"/>
      <c r="D6" s="216" t="s">
        <v>31</v>
      </c>
      <c r="E6" s="18"/>
      <c r="F6" s="18"/>
      <c r="G6" s="18" t="str">
        <f>IF(C5="","",C5/12)</f>
        <v/>
      </c>
      <c r="H6" s="215" t="s">
        <v>32</v>
      </c>
      <c r="I6" s="65"/>
    </row>
    <row r="7" spans="1:9">
      <c r="A7" s="61"/>
      <c r="B7" s="217" t="s">
        <v>22</v>
      </c>
      <c r="C7" s="264"/>
      <c r="D7" s="215" t="s">
        <v>33</v>
      </c>
      <c r="E7" s="18"/>
      <c r="F7" s="215"/>
      <c r="G7" s="18"/>
      <c r="H7" s="28"/>
      <c r="I7" s="62"/>
    </row>
    <row r="8" spans="1:9">
      <c r="A8" s="176"/>
      <c r="B8" s="252"/>
      <c r="C8" s="263"/>
      <c r="D8" s="254"/>
      <c r="E8" s="252" t="str">
        <f>IF(C7="","","The extra money each month, reduces your interest to")</f>
        <v/>
      </c>
      <c r="F8" s="261" t="str">
        <f>IF(C7="","",SUM(D12:D383))</f>
        <v/>
      </c>
      <c r="G8" s="255"/>
      <c r="H8" s="260" t="str">
        <f>IF(C7="","","Your interest savings would be")</f>
        <v/>
      </c>
      <c r="I8" s="262" t="str">
        <f>IF(C7="","",G4-F8)</f>
        <v/>
      </c>
    </row>
    <row r="9" spans="1:9" ht="15.6" thickBot="1">
      <c r="A9" s="73"/>
      <c r="B9" s="74"/>
      <c r="C9" s="251"/>
      <c r="D9" s="250" t="str">
        <f>IF(C7="","","Number of monthly payments would be")</f>
        <v/>
      </c>
      <c r="E9" s="257" t="str">
        <f>IF(C7="","",COUNTIF(B12:B383,"&gt;0"))</f>
        <v/>
      </c>
      <c r="F9" s="258" t="str">
        <f>IF(C7="","",C5-E9)</f>
        <v/>
      </c>
      <c r="G9" s="259" t="str">
        <f>IF(C7="","","less monthly payments would have to be made.")</f>
        <v/>
      </c>
      <c r="H9" s="256"/>
      <c r="I9" s="253"/>
    </row>
    <row r="10" spans="1:9">
      <c r="A10" s="175"/>
      <c r="B10" s="167" t="s">
        <v>34</v>
      </c>
      <c r="C10" s="167" t="s">
        <v>35</v>
      </c>
      <c r="D10" s="167" t="s">
        <v>13</v>
      </c>
      <c r="E10" s="167" t="s">
        <v>36</v>
      </c>
      <c r="F10" s="167" t="s">
        <v>37</v>
      </c>
      <c r="G10" s="167" t="s">
        <v>38</v>
      </c>
      <c r="H10" s="167" t="s">
        <v>39</v>
      </c>
      <c r="I10" s="167" t="s">
        <v>40</v>
      </c>
    </row>
    <row r="11" spans="1:9">
      <c r="A11" s="175"/>
      <c r="B11" s="167" t="s">
        <v>41</v>
      </c>
      <c r="C11" s="167" t="s">
        <v>8</v>
      </c>
      <c r="D11" s="167" t="s">
        <v>42</v>
      </c>
      <c r="E11" s="167" t="s">
        <v>42</v>
      </c>
      <c r="F11" s="167" t="s">
        <v>8</v>
      </c>
      <c r="G11" s="167" t="s">
        <v>43</v>
      </c>
      <c r="H11" s="167" t="s">
        <v>43</v>
      </c>
      <c r="I11" s="167" t="s">
        <v>44</v>
      </c>
    </row>
    <row r="12" spans="1:9">
      <c r="A12" s="173" t="str">
        <f>IF(B12="","","Jan")</f>
        <v/>
      </c>
      <c r="B12" t="str">
        <f>IF(C6=1,1,"")</f>
        <v/>
      </c>
      <c r="C12" s="165" t="str">
        <f>IF($C$6=1,C3,"")</f>
        <v/>
      </c>
      <c r="D12" s="165" t="str">
        <f>IF($C$6=1,$C$3*(($C$4/100)/12),"")</f>
        <v/>
      </c>
      <c r="E12" s="165" t="str">
        <f>IF($C$6=1,($C$7+$G$3)-D12,"")</f>
        <v/>
      </c>
      <c r="F12" s="165" t="str">
        <f>IF($C$6=1,C12-E12,"")</f>
        <v/>
      </c>
      <c r="G12" s="165" t="str">
        <f>E12</f>
        <v/>
      </c>
      <c r="H12" s="165" t="str">
        <f>D12</f>
        <v/>
      </c>
    </row>
    <row r="13" spans="1:9">
      <c r="A13" s="173" t="str">
        <f>IF(B13="","","Feb")</f>
        <v/>
      </c>
      <c r="B13" t="str">
        <f>IF(B12=ABS($C$5),"",IF($C$6=2,1,IF(B12="","",IF(F12-$C$7&lt;=0,"",B12+1))))</f>
        <v/>
      </c>
      <c r="C13" s="165" t="str">
        <f>IF(B13="","",IF($C$6=2,$C$3,F12))</f>
        <v/>
      </c>
      <c r="D13" s="165" t="str">
        <f t="shared" ref="D13:D25" si="0">IF(B13="","",C13*(($C$4/100)/12))</f>
        <v/>
      </c>
      <c r="E13" s="165" t="str">
        <f t="shared" ref="E13:E76" si="1">IF(B13="","",IF(C13+D13&lt;($G$3+$C$7),(C13+D13)-D13,($G$3+$C$7)-D13))</f>
        <v/>
      </c>
      <c r="F13" s="165" t="str">
        <f>IF(B13="","",C13-E13)</f>
        <v/>
      </c>
      <c r="G13" s="165" t="str">
        <f>IF(B13="","",G12+E13)</f>
        <v/>
      </c>
      <c r="H13" s="165" t="str">
        <f t="shared" ref="H13:H76" si="2">IF(B13="","",H12+D13)</f>
        <v/>
      </c>
    </row>
    <row r="14" spans="1:9">
      <c r="A14" s="173" t="str">
        <f>IF(B14="","","Mar")</f>
        <v/>
      </c>
      <c r="B14" t="str">
        <f>IF(B13=ABS($C$5),"",IF($C$6=3,1,IF(B13="","",IF(F13-$C$7&lt;=0,"",B13+1))))</f>
        <v/>
      </c>
      <c r="C14" s="165" t="str">
        <f>IF(B14="","",IF($C$6=3,$C$3,F13))</f>
        <v/>
      </c>
      <c r="D14" s="165" t="str">
        <f t="shared" si="0"/>
        <v/>
      </c>
      <c r="E14" s="165" t="str">
        <f t="shared" si="1"/>
        <v/>
      </c>
      <c r="F14" s="165" t="str">
        <f t="shared" ref="F14:F29" si="3">IF(B14="","",C14-E14)</f>
        <v/>
      </c>
      <c r="G14" s="165" t="str">
        <f t="shared" ref="G14:G29" si="4">IF(B14="","",G13+E14)</f>
        <v/>
      </c>
      <c r="H14" s="165" t="str">
        <f t="shared" si="2"/>
        <v/>
      </c>
    </row>
    <row r="15" spans="1:9">
      <c r="A15" s="173" t="str">
        <f>IF(B15="","","Apr")</f>
        <v/>
      </c>
      <c r="B15" t="str">
        <f>IF(B14=ABS($C$5),"",IF($C$6=4,1,IF(B14="","",IF(F14-$C$7&lt;=0,"",B14+1))))</f>
        <v/>
      </c>
      <c r="C15" s="165" t="str">
        <f>IF(B15="","",IF($C$6=4,$C$3,F14))</f>
        <v/>
      </c>
      <c r="D15" s="165" t="str">
        <f t="shared" si="0"/>
        <v/>
      </c>
      <c r="E15" s="165" t="str">
        <f t="shared" si="1"/>
        <v/>
      </c>
      <c r="F15" s="165" t="str">
        <f t="shared" si="3"/>
        <v/>
      </c>
      <c r="G15" s="165" t="str">
        <f t="shared" si="4"/>
        <v/>
      </c>
      <c r="H15" s="165" t="str">
        <f t="shared" si="2"/>
        <v/>
      </c>
    </row>
    <row r="16" spans="1:9">
      <c r="A16" s="173" t="str">
        <f>IF(B16="","","May")</f>
        <v/>
      </c>
      <c r="B16" t="str">
        <f>IF(B15=ABS($C$5),"",IF($C$6=5,1,IF(B15="","",IF(F15-$C$7&lt;=0,"",B15+1))))</f>
        <v/>
      </c>
      <c r="C16" s="165" t="str">
        <f>IF(B16="","",IF($C$6=5,$C$3,F15))</f>
        <v/>
      </c>
      <c r="D16" s="165" t="str">
        <f t="shared" si="0"/>
        <v/>
      </c>
      <c r="E16" s="165" t="str">
        <f t="shared" si="1"/>
        <v/>
      </c>
      <c r="F16" s="165" t="str">
        <f t="shared" si="3"/>
        <v/>
      </c>
      <c r="G16" s="165" t="str">
        <f t="shared" si="4"/>
        <v/>
      </c>
      <c r="H16" s="165" t="str">
        <f t="shared" si="2"/>
        <v/>
      </c>
    </row>
    <row r="17" spans="1:9">
      <c r="A17" s="173" t="str">
        <f>IF(B17="","","Jun")</f>
        <v/>
      </c>
      <c r="B17" t="str">
        <f>IF(B16=ABS($C$5),"",IF($C$6=6,1,IF(B16="","",IF(F16-$C$7&lt;=0,"",B16+1))))</f>
        <v/>
      </c>
      <c r="C17" s="165" t="str">
        <f>IF(B17="","",IF($C$6=6,$C$3,F16))</f>
        <v/>
      </c>
      <c r="D17" s="165" t="str">
        <f t="shared" si="0"/>
        <v/>
      </c>
      <c r="E17" s="165" t="str">
        <f t="shared" si="1"/>
        <v/>
      </c>
      <c r="F17" s="165" t="str">
        <f t="shared" si="3"/>
        <v/>
      </c>
      <c r="G17" s="165" t="str">
        <f t="shared" si="4"/>
        <v/>
      </c>
      <c r="H17" s="165" t="str">
        <f t="shared" si="2"/>
        <v/>
      </c>
    </row>
    <row r="18" spans="1:9">
      <c r="A18" s="173" t="str">
        <f>IF(B18="","","Jul")</f>
        <v/>
      </c>
      <c r="B18" t="str">
        <f>IF(B17=ABS($C$5),"",IF($C$6=7,1,IF(B17="","",IF(F17-$C$7&lt;=0,"",B17+1))))</f>
        <v/>
      </c>
      <c r="C18" s="165" t="str">
        <f>IF(B18="","",IF($C$6=7,$C$3,F17))</f>
        <v/>
      </c>
      <c r="D18" s="165" t="str">
        <f t="shared" si="0"/>
        <v/>
      </c>
      <c r="E18" s="165" t="str">
        <f t="shared" si="1"/>
        <v/>
      </c>
      <c r="F18" s="165" t="str">
        <f t="shared" si="3"/>
        <v/>
      </c>
      <c r="G18" s="165" t="str">
        <f t="shared" si="4"/>
        <v/>
      </c>
      <c r="H18" s="165" t="str">
        <f t="shared" si="2"/>
        <v/>
      </c>
    </row>
    <row r="19" spans="1:9">
      <c r="A19" s="173" t="str">
        <f>IF(B19="","","Aug")</f>
        <v/>
      </c>
      <c r="B19" t="str">
        <f>IF(B18=ABS($C$5),"",IF($C$6=8,1,IF(B18="","",IF(F18-$C$7&lt;=0,"",B18+1))))</f>
        <v/>
      </c>
      <c r="C19" s="165" t="str">
        <f>IF(B19="","",IF($C$6=8,$C$3,F18))</f>
        <v/>
      </c>
      <c r="D19" s="165" t="str">
        <f t="shared" si="0"/>
        <v/>
      </c>
      <c r="E19" s="165" t="str">
        <f t="shared" si="1"/>
        <v/>
      </c>
      <c r="F19" s="165" t="str">
        <f t="shared" si="3"/>
        <v/>
      </c>
      <c r="G19" s="165" t="str">
        <f t="shared" si="4"/>
        <v/>
      </c>
      <c r="H19" s="165" t="str">
        <f t="shared" si="2"/>
        <v/>
      </c>
      <c r="I19" s="168" t="str">
        <f>IF(C6="","","Principle")</f>
        <v/>
      </c>
    </row>
    <row r="20" spans="1:9">
      <c r="A20" s="173" t="str">
        <f>IF(B20="","","Sep")</f>
        <v/>
      </c>
      <c r="B20" t="str">
        <f>IF(B19=ABS($C$5),"",IF($C$6=9,1,IF(B19="","",IF(F19-$C$7&lt;=0,"",B19+1))))</f>
        <v/>
      </c>
      <c r="C20" s="165" t="str">
        <f>IF(B20="","",IF($C$6=9,$C$3,F19))</f>
        <v/>
      </c>
      <c r="D20" s="165" t="str">
        <f t="shared" si="0"/>
        <v/>
      </c>
      <c r="E20" s="165" t="str">
        <f t="shared" si="1"/>
        <v/>
      </c>
      <c r="F20" s="165" t="str">
        <f t="shared" si="3"/>
        <v/>
      </c>
      <c r="G20" s="165" t="str">
        <f t="shared" si="4"/>
        <v/>
      </c>
      <c r="H20" s="165" t="str">
        <f t="shared" si="2"/>
        <v/>
      </c>
      <c r="I20" s="169" t="str">
        <f>IF(C6="","",SUM(E12:E23))</f>
        <v/>
      </c>
    </row>
    <row r="21" spans="1:9">
      <c r="A21" s="173" t="str">
        <f>IF(B21="","","Oct")</f>
        <v/>
      </c>
      <c r="B21" t="str">
        <f>IF(B20=ABS($C$5),"",IF($C$6=10,1,IF(B20="","",IF(F20-$C$7&lt;=0,"",B20+1))))</f>
        <v/>
      </c>
      <c r="C21" s="165" t="str">
        <f>IF(B21="","",IF($C$6=10,$C$3,F20))</f>
        <v/>
      </c>
      <c r="D21" s="165" t="str">
        <f t="shared" si="0"/>
        <v/>
      </c>
      <c r="E21" s="165" t="str">
        <f t="shared" si="1"/>
        <v/>
      </c>
      <c r="F21" s="165" t="str">
        <f t="shared" si="3"/>
        <v/>
      </c>
      <c r="G21" s="165" t="str">
        <f t="shared" si="4"/>
        <v/>
      </c>
      <c r="H21" s="165" t="str">
        <f t="shared" si="2"/>
        <v/>
      </c>
      <c r="I21" s="168" t="str">
        <f>IF(C6="","","Interest")</f>
        <v/>
      </c>
    </row>
    <row r="22" spans="1:9">
      <c r="A22" s="173" t="str">
        <f>IF(B22="","","Nov")</f>
        <v/>
      </c>
      <c r="B22" t="str">
        <f>IF(B21=ABS($C$5),"",IF($C$6=11,1,IF(B21="","",IF(F21-$C$7&lt;=0,"",B21+1))))</f>
        <v/>
      </c>
      <c r="C22" s="165" t="str">
        <f>IF(B22="","",IF($C$6=11,$C$3,F21))</f>
        <v/>
      </c>
      <c r="D22" s="165" t="str">
        <f t="shared" si="0"/>
        <v/>
      </c>
      <c r="E22" s="165" t="str">
        <f t="shared" si="1"/>
        <v/>
      </c>
      <c r="F22" s="165" t="str">
        <f t="shared" si="3"/>
        <v/>
      </c>
      <c r="G22" s="165" t="str">
        <f t="shared" si="4"/>
        <v/>
      </c>
      <c r="H22" s="165" t="str">
        <f t="shared" si="2"/>
        <v/>
      </c>
      <c r="I22" s="169" t="str">
        <f>IF(C6="","",SUM(D12:D23))</f>
        <v/>
      </c>
    </row>
    <row r="23" spans="1:9">
      <c r="A23" s="174" t="str">
        <f>IF(B23="","","Dec")</f>
        <v/>
      </c>
      <c r="B23" s="170" t="str">
        <f>IF(B22=ABS($C$5),"",IF($C$6=12,1,IF(B22="","",IF(F22-$C$7&lt;=0,"",B22+1))))</f>
        <v/>
      </c>
      <c r="C23" s="171" t="str">
        <f>IF(B23="","",IF($C$6=12,$C$3,F22))</f>
        <v/>
      </c>
      <c r="D23" s="171" t="str">
        <f t="shared" si="0"/>
        <v/>
      </c>
      <c r="E23" s="171" t="str">
        <f t="shared" si="1"/>
        <v/>
      </c>
      <c r="F23" s="171" t="str">
        <f t="shared" si="3"/>
        <v/>
      </c>
      <c r="G23" s="171" t="str">
        <f t="shared" si="4"/>
        <v/>
      </c>
      <c r="H23" s="171" t="str">
        <f t="shared" si="2"/>
        <v/>
      </c>
      <c r="I23" s="170" t="str">
        <f>IF(C6="","","End of year 1")</f>
        <v/>
      </c>
    </row>
    <row r="24" spans="1:9">
      <c r="A24" s="173" t="str">
        <f>IF(B24="","","Jan")</f>
        <v/>
      </c>
      <c r="B24" t="str">
        <f>IF(B23=ABS($C$5),"",IF(B23="","",IF(G23&gt;=$C$3,"",B23+1)))</f>
        <v/>
      </c>
      <c r="C24" s="165" t="str">
        <f t="shared" ref="C24:C29" si="5">IF(B24="","",F23)</f>
        <v/>
      </c>
      <c r="D24" s="165" t="str">
        <f t="shared" si="0"/>
        <v/>
      </c>
      <c r="E24" s="165" t="str">
        <f t="shared" si="1"/>
        <v/>
      </c>
      <c r="F24" s="165" t="str">
        <f t="shared" si="3"/>
        <v/>
      </c>
      <c r="G24" s="165" t="str">
        <f t="shared" si="4"/>
        <v/>
      </c>
      <c r="H24" s="165" t="str">
        <f t="shared" si="2"/>
        <v/>
      </c>
    </row>
    <row r="25" spans="1:9">
      <c r="A25" s="173" t="str">
        <f>IF(B25="","","Feb")</f>
        <v/>
      </c>
      <c r="B25" t="str">
        <f t="shared" ref="B25:B88" si="6">IF(B24=ABS($C$5),"",IF(B24="","",IF(G24&gt;=$C$3,"",B24+1)))</f>
        <v/>
      </c>
      <c r="C25" s="165" t="str">
        <f t="shared" si="5"/>
        <v/>
      </c>
      <c r="D25" s="165" t="str">
        <f t="shared" si="0"/>
        <v/>
      </c>
      <c r="E25" s="165" t="str">
        <f t="shared" si="1"/>
        <v/>
      </c>
      <c r="F25" s="165" t="str">
        <f t="shared" si="3"/>
        <v/>
      </c>
      <c r="G25" s="165" t="str">
        <f t="shared" si="4"/>
        <v/>
      </c>
      <c r="H25" s="165" t="str">
        <f t="shared" si="2"/>
        <v/>
      </c>
    </row>
    <row r="26" spans="1:9">
      <c r="A26" s="173" t="str">
        <f>IF(B26="","","Mar")</f>
        <v/>
      </c>
      <c r="B26" t="str">
        <f t="shared" si="6"/>
        <v/>
      </c>
      <c r="C26" s="165" t="str">
        <f t="shared" si="5"/>
        <v/>
      </c>
      <c r="D26" s="165" t="str">
        <f t="shared" ref="D26:D89" si="7">IF(B26="","",C26*(($C$4/100)/12))</f>
        <v/>
      </c>
      <c r="E26" s="165" t="str">
        <f t="shared" si="1"/>
        <v/>
      </c>
      <c r="F26" s="165" t="str">
        <f t="shared" si="3"/>
        <v/>
      </c>
      <c r="G26" s="165" t="str">
        <f t="shared" si="4"/>
        <v/>
      </c>
      <c r="H26" s="165" t="str">
        <f t="shared" si="2"/>
        <v/>
      </c>
    </row>
    <row r="27" spans="1:9">
      <c r="A27" s="173" t="str">
        <f>IF(B27="","","Apr")</f>
        <v/>
      </c>
      <c r="B27" t="str">
        <f t="shared" si="6"/>
        <v/>
      </c>
      <c r="C27" s="165" t="str">
        <f t="shared" si="5"/>
        <v/>
      </c>
      <c r="D27" s="165" t="str">
        <f t="shared" si="7"/>
        <v/>
      </c>
      <c r="E27" s="165" t="str">
        <f t="shared" si="1"/>
        <v/>
      </c>
      <c r="F27" s="165" t="str">
        <f t="shared" si="3"/>
        <v/>
      </c>
      <c r="G27" s="165" t="str">
        <f t="shared" si="4"/>
        <v/>
      </c>
      <c r="H27" s="165" t="str">
        <f t="shared" si="2"/>
        <v/>
      </c>
    </row>
    <row r="28" spans="1:9">
      <c r="A28" s="173" t="str">
        <f>IF(B28="","","May")</f>
        <v/>
      </c>
      <c r="B28" t="str">
        <f t="shared" si="6"/>
        <v/>
      </c>
      <c r="C28" s="165" t="str">
        <f t="shared" si="5"/>
        <v/>
      </c>
      <c r="D28" s="165" t="str">
        <f t="shared" si="7"/>
        <v/>
      </c>
      <c r="E28" s="165" t="str">
        <f t="shared" si="1"/>
        <v/>
      </c>
      <c r="F28" s="165" t="str">
        <f t="shared" si="3"/>
        <v/>
      </c>
      <c r="G28" s="165" t="str">
        <f t="shared" si="4"/>
        <v/>
      </c>
      <c r="H28" s="165" t="str">
        <f t="shared" si="2"/>
        <v/>
      </c>
    </row>
    <row r="29" spans="1:9">
      <c r="A29" s="173" t="str">
        <f>IF(B29="","","Jun")</f>
        <v/>
      </c>
      <c r="B29" t="str">
        <f t="shared" si="6"/>
        <v/>
      </c>
      <c r="C29" s="165" t="str">
        <f t="shared" si="5"/>
        <v/>
      </c>
      <c r="D29" s="165" t="str">
        <f t="shared" si="7"/>
        <v/>
      </c>
      <c r="E29" s="165" t="str">
        <f t="shared" si="1"/>
        <v/>
      </c>
      <c r="F29" s="165" t="str">
        <f t="shared" si="3"/>
        <v/>
      </c>
      <c r="G29" s="165" t="str">
        <f t="shared" si="4"/>
        <v/>
      </c>
      <c r="H29" s="165" t="str">
        <f t="shared" si="2"/>
        <v/>
      </c>
    </row>
    <row r="30" spans="1:9">
      <c r="A30" s="173" t="str">
        <f>IF(B30="","","Jul")</f>
        <v/>
      </c>
      <c r="B30" t="str">
        <f t="shared" si="6"/>
        <v/>
      </c>
      <c r="C30" s="165" t="str">
        <f t="shared" ref="C30:C45" si="8">IF(B30="","",F29)</f>
        <v/>
      </c>
      <c r="D30" s="165" t="str">
        <f t="shared" si="7"/>
        <v/>
      </c>
      <c r="E30" s="165" t="str">
        <f t="shared" si="1"/>
        <v/>
      </c>
      <c r="F30" s="165" t="str">
        <f t="shared" ref="F30:F45" si="9">IF(B30="","",C30-E30)</f>
        <v/>
      </c>
      <c r="G30" s="165" t="str">
        <f t="shared" ref="G30:G45" si="10">IF(B30="","",G29+E30)</f>
        <v/>
      </c>
      <c r="H30" s="165" t="str">
        <f t="shared" si="2"/>
        <v/>
      </c>
    </row>
    <row r="31" spans="1:9">
      <c r="A31" s="173" t="str">
        <f>IF(B31="","","Aug")</f>
        <v/>
      </c>
      <c r="B31" t="str">
        <f t="shared" si="6"/>
        <v/>
      </c>
      <c r="C31" s="165" t="str">
        <f t="shared" si="8"/>
        <v/>
      </c>
      <c r="D31" s="165" t="str">
        <f t="shared" si="7"/>
        <v/>
      </c>
      <c r="E31" s="165" t="str">
        <f t="shared" si="1"/>
        <v/>
      </c>
      <c r="F31" s="165" t="str">
        <f t="shared" si="9"/>
        <v/>
      </c>
      <c r="G31" s="165" t="str">
        <f t="shared" si="10"/>
        <v/>
      </c>
      <c r="H31" s="165" t="str">
        <f t="shared" si="2"/>
        <v/>
      </c>
      <c r="I31" s="168" t="str">
        <f>IF(B24="","","Principal")</f>
        <v/>
      </c>
    </row>
    <row r="32" spans="1:9">
      <c r="A32" s="173" t="str">
        <f>IF(B32="","","Sep")</f>
        <v/>
      </c>
      <c r="B32" t="str">
        <f t="shared" si="6"/>
        <v/>
      </c>
      <c r="C32" s="165" t="str">
        <f t="shared" si="8"/>
        <v/>
      </c>
      <c r="D32" s="165" t="str">
        <f t="shared" si="7"/>
        <v/>
      </c>
      <c r="E32" s="165" t="str">
        <f t="shared" si="1"/>
        <v/>
      </c>
      <c r="F32" s="165" t="str">
        <f t="shared" si="9"/>
        <v/>
      </c>
      <c r="G32" s="165" t="str">
        <f t="shared" si="10"/>
        <v/>
      </c>
      <c r="H32" s="165" t="str">
        <f t="shared" si="2"/>
        <v/>
      </c>
      <c r="I32" s="169" t="str">
        <f>IF(B24="","",SUM(E24:E35))</f>
        <v/>
      </c>
    </row>
    <row r="33" spans="1:9">
      <c r="A33" s="173" t="str">
        <f>IF(B33="","","Oct")</f>
        <v/>
      </c>
      <c r="B33" t="str">
        <f t="shared" si="6"/>
        <v/>
      </c>
      <c r="C33" s="165" t="str">
        <f t="shared" si="8"/>
        <v/>
      </c>
      <c r="D33" s="165" t="str">
        <f t="shared" si="7"/>
        <v/>
      </c>
      <c r="E33" s="165" t="str">
        <f t="shared" si="1"/>
        <v/>
      </c>
      <c r="F33" s="165" t="str">
        <f t="shared" si="9"/>
        <v/>
      </c>
      <c r="G33" s="165" t="str">
        <f t="shared" si="10"/>
        <v/>
      </c>
      <c r="H33" s="165" t="str">
        <f t="shared" si="2"/>
        <v/>
      </c>
      <c r="I33" s="168" t="str">
        <f>IF(B24="","","Interest")</f>
        <v/>
      </c>
    </row>
    <row r="34" spans="1:9">
      <c r="A34" s="173" t="str">
        <f>IF(B34="","","Nov")</f>
        <v/>
      </c>
      <c r="B34" t="str">
        <f t="shared" si="6"/>
        <v/>
      </c>
      <c r="C34" s="165" t="str">
        <f t="shared" si="8"/>
        <v/>
      </c>
      <c r="D34" s="165" t="str">
        <f t="shared" si="7"/>
        <v/>
      </c>
      <c r="E34" s="165" t="str">
        <f t="shared" si="1"/>
        <v/>
      </c>
      <c r="F34" s="165" t="str">
        <f t="shared" si="9"/>
        <v/>
      </c>
      <c r="G34" s="165" t="str">
        <f t="shared" si="10"/>
        <v/>
      </c>
      <c r="H34" s="165" t="str">
        <f t="shared" si="2"/>
        <v/>
      </c>
      <c r="I34" s="169" t="str">
        <f>IF(B24="","",SUM(D24:D35))</f>
        <v/>
      </c>
    </row>
    <row r="35" spans="1:9">
      <c r="A35" s="174" t="str">
        <f>IF(B35="","","Dec")</f>
        <v/>
      </c>
      <c r="B35" s="170" t="str">
        <f t="shared" si="6"/>
        <v/>
      </c>
      <c r="C35" s="171" t="str">
        <f t="shared" si="8"/>
        <v/>
      </c>
      <c r="D35" s="171" t="str">
        <f t="shared" si="7"/>
        <v/>
      </c>
      <c r="E35" s="171" t="str">
        <f t="shared" si="1"/>
        <v/>
      </c>
      <c r="F35" s="171" t="str">
        <f t="shared" si="9"/>
        <v/>
      </c>
      <c r="G35" s="171" t="str">
        <f t="shared" si="10"/>
        <v/>
      </c>
      <c r="H35" s="171" t="str">
        <f t="shared" si="2"/>
        <v/>
      </c>
      <c r="I35" s="170" t="str">
        <f>IF(B24="","","End of year 2")</f>
        <v/>
      </c>
    </row>
    <row r="36" spans="1:9">
      <c r="A36" s="173" t="str">
        <f>IF(B36="","","Jan")</f>
        <v/>
      </c>
      <c r="B36" t="str">
        <f t="shared" si="6"/>
        <v/>
      </c>
      <c r="C36" s="165" t="str">
        <f t="shared" si="8"/>
        <v/>
      </c>
      <c r="D36" s="165" t="str">
        <f t="shared" si="7"/>
        <v/>
      </c>
      <c r="E36" s="165" t="str">
        <f t="shared" si="1"/>
        <v/>
      </c>
      <c r="F36" s="165" t="str">
        <f t="shared" si="9"/>
        <v/>
      </c>
      <c r="G36" s="165" t="str">
        <f t="shared" si="10"/>
        <v/>
      </c>
      <c r="H36" s="165" t="str">
        <f t="shared" si="2"/>
        <v/>
      </c>
    </row>
    <row r="37" spans="1:9">
      <c r="A37" s="173" t="str">
        <f>IF(B37="","","Feb")</f>
        <v/>
      </c>
      <c r="B37" t="str">
        <f t="shared" si="6"/>
        <v/>
      </c>
      <c r="C37" s="165" t="str">
        <f t="shared" si="8"/>
        <v/>
      </c>
      <c r="D37" s="165" t="str">
        <f t="shared" si="7"/>
        <v/>
      </c>
      <c r="E37" s="165" t="str">
        <f t="shared" si="1"/>
        <v/>
      </c>
      <c r="F37" s="165" t="str">
        <f t="shared" si="9"/>
        <v/>
      </c>
      <c r="G37" s="165" t="str">
        <f t="shared" si="10"/>
        <v/>
      </c>
      <c r="H37" s="165" t="str">
        <f t="shared" si="2"/>
        <v/>
      </c>
    </row>
    <row r="38" spans="1:9">
      <c r="A38" s="173" t="str">
        <f>IF(B38="","","Mar")</f>
        <v/>
      </c>
      <c r="B38" t="str">
        <f t="shared" si="6"/>
        <v/>
      </c>
      <c r="C38" s="165" t="str">
        <f t="shared" si="8"/>
        <v/>
      </c>
      <c r="D38" s="165" t="str">
        <f t="shared" si="7"/>
        <v/>
      </c>
      <c r="E38" s="165" t="str">
        <f t="shared" si="1"/>
        <v/>
      </c>
      <c r="F38" s="165" t="str">
        <f t="shared" si="9"/>
        <v/>
      </c>
      <c r="G38" s="165" t="str">
        <f t="shared" si="10"/>
        <v/>
      </c>
      <c r="H38" s="165" t="str">
        <f t="shared" si="2"/>
        <v/>
      </c>
    </row>
    <row r="39" spans="1:9">
      <c r="A39" s="173" t="str">
        <f>IF(B39="","","Apr")</f>
        <v/>
      </c>
      <c r="B39" t="str">
        <f t="shared" si="6"/>
        <v/>
      </c>
      <c r="C39" s="165" t="str">
        <f t="shared" si="8"/>
        <v/>
      </c>
      <c r="D39" s="165" t="str">
        <f t="shared" si="7"/>
        <v/>
      </c>
      <c r="E39" s="165" t="str">
        <f t="shared" si="1"/>
        <v/>
      </c>
      <c r="F39" s="165" t="str">
        <f t="shared" si="9"/>
        <v/>
      </c>
      <c r="G39" s="165" t="str">
        <f t="shared" si="10"/>
        <v/>
      </c>
      <c r="H39" s="165" t="str">
        <f t="shared" si="2"/>
        <v/>
      </c>
    </row>
    <row r="40" spans="1:9">
      <c r="A40" s="173" t="str">
        <f>IF(B40="","","May")</f>
        <v/>
      </c>
      <c r="B40" t="str">
        <f t="shared" si="6"/>
        <v/>
      </c>
      <c r="C40" s="165" t="str">
        <f t="shared" si="8"/>
        <v/>
      </c>
      <c r="D40" s="165" t="str">
        <f t="shared" si="7"/>
        <v/>
      </c>
      <c r="E40" s="165" t="str">
        <f t="shared" si="1"/>
        <v/>
      </c>
      <c r="F40" s="165" t="str">
        <f t="shared" si="9"/>
        <v/>
      </c>
      <c r="G40" s="165" t="str">
        <f t="shared" si="10"/>
        <v/>
      </c>
      <c r="H40" s="165" t="str">
        <f t="shared" si="2"/>
        <v/>
      </c>
    </row>
    <row r="41" spans="1:9">
      <c r="A41" s="173" t="str">
        <f>IF(B41="","","Jun")</f>
        <v/>
      </c>
      <c r="B41" t="str">
        <f t="shared" si="6"/>
        <v/>
      </c>
      <c r="C41" s="165" t="str">
        <f t="shared" si="8"/>
        <v/>
      </c>
      <c r="D41" s="165" t="str">
        <f t="shared" si="7"/>
        <v/>
      </c>
      <c r="E41" s="165" t="str">
        <f t="shared" si="1"/>
        <v/>
      </c>
      <c r="F41" s="165" t="str">
        <f t="shared" si="9"/>
        <v/>
      </c>
      <c r="G41" s="165" t="str">
        <f t="shared" si="10"/>
        <v/>
      </c>
      <c r="H41" s="165" t="str">
        <f t="shared" si="2"/>
        <v/>
      </c>
    </row>
    <row r="42" spans="1:9">
      <c r="A42" s="173" t="str">
        <f>IF(B42="","","Jul")</f>
        <v/>
      </c>
      <c r="B42" t="str">
        <f t="shared" si="6"/>
        <v/>
      </c>
      <c r="C42" s="165" t="str">
        <f t="shared" si="8"/>
        <v/>
      </c>
      <c r="D42" s="165" t="str">
        <f t="shared" si="7"/>
        <v/>
      </c>
      <c r="E42" s="165" t="str">
        <f t="shared" si="1"/>
        <v/>
      </c>
      <c r="F42" s="165" t="str">
        <f t="shared" si="9"/>
        <v/>
      </c>
      <c r="G42" s="165" t="str">
        <f t="shared" si="10"/>
        <v/>
      </c>
      <c r="H42" s="165" t="str">
        <f t="shared" si="2"/>
        <v/>
      </c>
    </row>
    <row r="43" spans="1:9">
      <c r="A43" s="173" t="str">
        <f>IF(B43="","","Aug")</f>
        <v/>
      </c>
      <c r="B43" t="str">
        <f t="shared" si="6"/>
        <v/>
      </c>
      <c r="C43" s="165" t="str">
        <f t="shared" si="8"/>
        <v/>
      </c>
      <c r="D43" s="165" t="str">
        <f t="shared" si="7"/>
        <v/>
      </c>
      <c r="E43" s="165" t="str">
        <f t="shared" si="1"/>
        <v/>
      </c>
      <c r="F43" s="165" t="str">
        <f t="shared" si="9"/>
        <v/>
      </c>
      <c r="G43" s="165" t="str">
        <f t="shared" si="10"/>
        <v/>
      </c>
      <c r="H43" s="165" t="str">
        <f t="shared" si="2"/>
        <v/>
      </c>
      <c r="I43" s="168" t="str">
        <f>IF(B36="","","Principal")</f>
        <v/>
      </c>
    </row>
    <row r="44" spans="1:9">
      <c r="A44" s="173" t="str">
        <f>IF(B44="","","Sep")</f>
        <v/>
      </c>
      <c r="B44" t="str">
        <f t="shared" si="6"/>
        <v/>
      </c>
      <c r="C44" s="165" t="str">
        <f t="shared" si="8"/>
        <v/>
      </c>
      <c r="D44" s="165" t="str">
        <f t="shared" si="7"/>
        <v/>
      </c>
      <c r="E44" s="165" t="str">
        <f t="shared" si="1"/>
        <v/>
      </c>
      <c r="F44" s="165" t="str">
        <f t="shared" si="9"/>
        <v/>
      </c>
      <c r="G44" s="165" t="str">
        <f t="shared" si="10"/>
        <v/>
      </c>
      <c r="H44" s="165" t="str">
        <f t="shared" si="2"/>
        <v/>
      </c>
      <c r="I44" s="169" t="str">
        <f>IF(B36="","",SUM(E36:E47))</f>
        <v/>
      </c>
    </row>
    <row r="45" spans="1:9">
      <c r="A45" s="173" t="str">
        <f>IF(B45="","","Oct")</f>
        <v/>
      </c>
      <c r="B45" t="str">
        <f t="shared" si="6"/>
        <v/>
      </c>
      <c r="C45" s="165" t="str">
        <f t="shared" si="8"/>
        <v/>
      </c>
      <c r="D45" s="165" t="str">
        <f t="shared" si="7"/>
        <v/>
      </c>
      <c r="E45" s="165" t="str">
        <f t="shared" si="1"/>
        <v/>
      </c>
      <c r="F45" s="165" t="str">
        <f t="shared" si="9"/>
        <v/>
      </c>
      <c r="G45" s="165" t="str">
        <f t="shared" si="10"/>
        <v/>
      </c>
      <c r="H45" s="165" t="str">
        <f t="shared" si="2"/>
        <v/>
      </c>
      <c r="I45" s="168" t="str">
        <f>IF(B36="","","Interest")</f>
        <v/>
      </c>
    </row>
    <row r="46" spans="1:9">
      <c r="A46" s="173" t="str">
        <f>IF(B46="","","Nov")</f>
        <v/>
      </c>
      <c r="B46" t="str">
        <f t="shared" si="6"/>
        <v/>
      </c>
      <c r="C46" s="165" t="str">
        <f t="shared" ref="C46:C61" si="11">IF(B46="","",F45)</f>
        <v/>
      </c>
      <c r="D46" s="165" t="str">
        <f t="shared" si="7"/>
        <v/>
      </c>
      <c r="E46" s="165" t="str">
        <f t="shared" si="1"/>
        <v/>
      </c>
      <c r="F46" s="165" t="str">
        <f t="shared" ref="F46:F61" si="12">IF(B46="","",C46-E46)</f>
        <v/>
      </c>
      <c r="G46" s="165" t="str">
        <f t="shared" ref="G46:G61" si="13">IF(B46="","",G45+E46)</f>
        <v/>
      </c>
      <c r="H46" s="165" t="str">
        <f t="shared" si="2"/>
        <v/>
      </c>
      <c r="I46" s="169" t="str">
        <f>IF(B36="","",SUM(D36:D47))</f>
        <v/>
      </c>
    </row>
    <row r="47" spans="1:9">
      <c r="A47" s="174" t="str">
        <f>IF(B47="","","Dec")</f>
        <v/>
      </c>
      <c r="B47" s="170" t="str">
        <f t="shared" si="6"/>
        <v/>
      </c>
      <c r="C47" s="171" t="str">
        <f t="shared" si="11"/>
        <v/>
      </c>
      <c r="D47" s="171" t="str">
        <f t="shared" si="7"/>
        <v/>
      </c>
      <c r="E47" s="171" t="str">
        <f t="shared" si="1"/>
        <v/>
      </c>
      <c r="F47" s="171" t="str">
        <f t="shared" si="12"/>
        <v/>
      </c>
      <c r="G47" s="171" t="str">
        <f t="shared" si="13"/>
        <v/>
      </c>
      <c r="H47" s="171" t="str">
        <f t="shared" si="2"/>
        <v/>
      </c>
      <c r="I47" s="170" t="str">
        <f>IF(B36="","","End of year 3")</f>
        <v/>
      </c>
    </row>
    <row r="48" spans="1:9">
      <c r="A48" s="173" t="str">
        <f>IF(B48="","","Jan")</f>
        <v/>
      </c>
      <c r="B48" t="str">
        <f t="shared" si="6"/>
        <v/>
      </c>
      <c r="C48" s="165" t="str">
        <f t="shared" si="11"/>
        <v/>
      </c>
      <c r="D48" s="165" t="str">
        <f t="shared" si="7"/>
        <v/>
      </c>
      <c r="E48" s="165" t="str">
        <f t="shared" si="1"/>
        <v/>
      </c>
      <c r="F48" s="165" t="str">
        <f t="shared" si="12"/>
        <v/>
      </c>
      <c r="G48" s="165" t="str">
        <f t="shared" si="13"/>
        <v/>
      </c>
      <c r="H48" s="165" t="str">
        <f t="shared" si="2"/>
        <v/>
      </c>
    </row>
    <row r="49" spans="1:9">
      <c r="A49" s="173" t="str">
        <f>IF(B49="","","Feb")</f>
        <v/>
      </c>
      <c r="B49" t="str">
        <f t="shared" si="6"/>
        <v/>
      </c>
      <c r="C49" s="165" t="str">
        <f t="shared" si="11"/>
        <v/>
      </c>
      <c r="D49" s="165" t="str">
        <f t="shared" si="7"/>
        <v/>
      </c>
      <c r="E49" s="165" t="str">
        <f t="shared" si="1"/>
        <v/>
      </c>
      <c r="F49" s="165" t="str">
        <f t="shared" si="12"/>
        <v/>
      </c>
      <c r="G49" s="165" t="str">
        <f t="shared" si="13"/>
        <v/>
      </c>
      <c r="H49" s="165" t="str">
        <f t="shared" si="2"/>
        <v/>
      </c>
    </row>
    <row r="50" spans="1:9">
      <c r="A50" s="173" t="str">
        <f>IF(B50="","","Mar")</f>
        <v/>
      </c>
      <c r="B50" t="str">
        <f t="shared" si="6"/>
        <v/>
      </c>
      <c r="C50" s="165" t="str">
        <f t="shared" si="11"/>
        <v/>
      </c>
      <c r="D50" s="165" t="str">
        <f t="shared" si="7"/>
        <v/>
      </c>
      <c r="E50" s="165" t="str">
        <f t="shared" si="1"/>
        <v/>
      </c>
      <c r="F50" s="165" t="str">
        <f t="shared" si="12"/>
        <v/>
      </c>
      <c r="G50" s="165" t="str">
        <f t="shared" si="13"/>
        <v/>
      </c>
      <c r="H50" s="165" t="str">
        <f t="shared" si="2"/>
        <v/>
      </c>
    </row>
    <row r="51" spans="1:9">
      <c r="A51" s="173" t="str">
        <f>IF(B51="","","Apr")</f>
        <v/>
      </c>
      <c r="B51" t="str">
        <f t="shared" si="6"/>
        <v/>
      </c>
      <c r="C51" s="165" t="str">
        <f t="shared" si="11"/>
        <v/>
      </c>
      <c r="D51" s="165" t="str">
        <f t="shared" si="7"/>
        <v/>
      </c>
      <c r="E51" s="165" t="str">
        <f t="shared" si="1"/>
        <v/>
      </c>
      <c r="F51" s="165" t="str">
        <f t="shared" si="12"/>
        <v/>
      </c>
      <c r="G51" s="165" t="str">
        <f t="shared" si="13"/>
        <v/>
      </c>
      <c r="H51" s="165" t="str">
        <f t="shared" si="2"/>
        <v/>
      </c>
    </row>
    <row r="52" spans="1:9">
      <c r="A52" s="173" t="str">
        <f>IF(B52="","","May")</f>
        <v/>
      </c>
      <c r="B52" t="str">
        <f t="shared" si="6"/>
        <v/>
      </c>
      <c r="C52" s="165" t="str">
        <f t="shared" si="11"/>
        <v/>
      </c>
      <c r="D52" s="165" t="str">
        <f t="shared" si="7"/>
        <v/>
      </c>
      <c r="E52" s="165" t="str">
        <f t="shared" si="1"/>
        <v/>
      </c>
      <c r="F52" s="165" t="str">
        <f t="shared" si="12"/>
        <v/>
      </c>
      <c r="G52" s="165" t="str">
        <f t="shared" si="13"/>
        <v/>
      </c>
      <c r="H52" s="165" t="str">
        <f t="shared" si="2"/>
        <v/>
      </c>
    </row>
    <row r="53" spans="1:9">
      <c r="A53" s="173" t="str">
        <f>IF(B53="","","Jun")</f>
        <v/>
      </c>
      <c r="B53" t="str">
        <f t="shared" si="6"/>
        <v/>
      </c>
      <c r="C53" s="165" t="str">
        <f t="shared" si="11"/>
        <v/>
      </c>
      <c r="D53" s="165" t="str">
        <f t="shared" si="7"/>
        <v/>
      </c>
      <c r="E53" s="165" t="str">
        <f t="shared" si="1"/>
        <v/>
      </c>
      <c r="F53" s="165" t="str">
        <f t="shared" si="12"/>
        <v/>
      </c>
      <c r="G53" s="165" t="str">
        <f t="shared" si="13"/>
        <v/>
      </c>
      <c r="H53" s="165" t="str">
        <f t="shared" si="2"/>
        <v/>
      </c>
    </row>
    <row r="54" spans="1:9">
      <c r="A54" s="173" t="str">
        <f>IF(B54="","","Jul")</f>
        <v/>
      </c>
      <c r="B54" t="str">
        <f t="shared" si="6"/>
        <v/>
      </c>
      <c r="C54" s="165" t="str">
        <f t="shared" si="11"/>
        <v/>
      </c>
      <c r="D54" s="165" t="str">
        <f t="shared" si="7"/>
        <v/>
      </c>
      <c r="E54" s="165" t="str">
        <f t="shared" si="1"/>
        <v/>
      </c>
      <c r="F54" s="165" t="str">
        <f t="shared" si="12"/>
        <v/>
      </c>
      <c r="G54" s="165" t="str">
        <f t="shared" si="13"/>
        <v/>
      </c>
      <c r="H54" s="165" t="str">
        <f t="shared" si="2"/>
        <v/>
      </c>
    </row>
    <row r="55" spans="1:9">
      <c r="A55" s="173" t="str">
        <f>IF(B55="","","Aug")</f>
        <v/>
      </c>
      <c r="B55" t="str">
        <f t="shared" si="6"/>
        <v/>
      </c>
      <c r="C55" s="165" t="str">
        <f t="shared" si="11"/>
        <v/>
      </c>
      <c r="D55" s="165" t="str">
        <f t="shared" si="7"/>
        <v/>
      </c>
      <c r="E55" s="165" t="str">
        <f t="shared" si="1"/>
        <v/>
      </c>
      <c r="F55" s="165" t="str">
        <f t="shared" si="12"/>
        <v/>
      </c>
      <c r="G55" s="165" t="str">
        <f t="shared" si="13"/>
        <v/>
      </c>
      <c r="H55" s="165" t="str">
        <f t="shared" si="2"/>
        <v/>
      </c>
      <c r="I55" s="168" t="str">
        <f>IF(B48="","","Principal")</f>
        <v/>
      </c>
    </row>
    <row r="56" spans="1:9">
      <c r="A56" s="173" t="str">
        <f>IF(B56="","","Sep")</f>
        <v/>
      </c>
      <c r="B56" t="str">
        <f t="shared" si="6"/>
        <v/>
      </c>
      <c r="C56" s="165" t="str">
        <f t="shared" si="11"/>
        <v/>
      </c>
      <c r="D56" s="165" t="str">
        <f t="shared" si="7"/>
        <v/>
      </c>
      <c r="E56" s="165" t="str">
        <f t="shared" si="1"/>
        <v/>
      </c>
      <c r="F56" s="165" t="str">
        <f t="shared" si="12"/>
        <v/>
      </c>
      <c r="G56" s="165" t="str">
        <f t="shared" si="13"/>
        <v/>
      </c>
      <c r="H56" s="165" t="str">
        <f t="shared" si="2"/>
        <v/>
      </c>
      <c r="I56" s="169" t="str">
        <f>IF(B48="","",SUM(E48:E59))</f>
        <v/>
      </c>
    </row>
    <row r="57" spans="1:9">
      <c r="A57" s="173" t="str">
        <f>IF(B57="","","Oct")</f>
        <v/>
      </c>
      <c r="B57" t="str">
        <f t="shared" si="6"/>
        <v/>
      </c>
      <c r="C57" s="165" t="str">
        <f t="shared" si="11"/>
        <v/>
      </c>
      <c r="D57" s="165" t="str">
        <f t="shared" si="7"/>
        <v/>
      </c>
      <c r="E57" s="165" t="str">
        <f t="shared" si="1"/>
        <v/>
      </c>
      <c r="F57" s="165" t="str">
        <f t="shared" si="12"/>
        <v/>
      </c>
      <c r="G57" s="165" t="str">
        <f t="shared" si="13"/>
        <v/>
      </c>
      <c r="H57" s="165" t="str">
        <f t="shared" si="2"/>
        <v/>
      </c>
      <c r="I57" s="168" t="str">
        <f>IF(B48="","","Interest")</f>
        <v/>
      </c>
    </row>
    <row r="58" spans="1:9">
      <c r="A58" s="173" t="str">
        <f>IF(B58="","","Nov")</f>
        <v/>
      </c>
      <c r="B58" t="str">
        <f t="shared" si="6"/>
        <v/>
      </c>
      <c r="C58" s="165" t="str">
        <f t="shared" si="11"/>
        <v/>
      </c>
      <c r="D58" s="165" t="str">
        <f t="shared" si="7"/>
        <v/>
      </c>
      <c r="E58" s="165" t="str">
        <f t="shared" si="1"/>
        <v/>
      </c>
      <c r="F58" s="165" t="str">
        <f t="shared" si="12"/>
        <v/>
      </c>
      <c r="G58" s="165" t="str">
        <f t="shared" si="13"/>
        <v/>
      </c>
      <c r="H58" s="165" t="str">
        <f t="shared" si="2"/>
        <v/>
      </c>
      <c r="I58" s="169" t="str">
        <f>IF(B48="","",SUM(D48:D59))</f>
        <v/>
      </c>
    </row>
    <row r="59" spans="1:9">
      <c r="A59" s="174" t="str">
        <f>IF(B59="","","Dec")</f>
        <v/>
      </c>
      <c r="B59" s="170" t="str">
        <f t="shared" si="6"/>
        <v/>
      </c>
      <c r="C59" s="171" t="str">
        <f t="shared" si="11"/>
        <v/>
      </c>
      <c r="D59" s="171" t="str">
        <f t="shared" si="7"/>
        <v/>
      </c>
      <c r="E59" s="171" t="str">
        <f t="shared" si="1"/>
        <v/>
      </c>
      <c r="F59" s="171" t="str">
        <f t="shared" si="12"/>
        <v/>
      </c>
      <c r="G59" s="171" t="str">
        <f t="shared" si="13"/>
        <v/>
      </c>
      <c r="H59" s="171" t="str">
        <f t="shared" si="2"/>
        <v/>
      </c>
      <c r="I59" s="170" t="str">
        <f>IF(B48="","","End of year 4")</f>
        <v/>
      </c>
    </row>
    <row r="60" spans="1:9">
      <c r="A60" s="173" t="str">
        <f>IF(B60="","","Jan")</f>
        <v/>
      </c>
      <c r="B60" t="str">
        <f t="shared" si="6"/>
        <v/>
      </c>
      <c r="C60" s="165" t="str">
        <f t="shared" si="11"/>
        <v/>
      </c>
      <c r="D60" s="165" t="str">
        <f t="shared" si="7"/>
        <v/>
      </c>
      <c r="E60" s="165" t="str">
        <f t="shared" si="1"/>
        <v/>
      </c>
      <c r="F60" s="165" t="str">
        <f t="shared" si="12"/>
        <v/>
      </c>
      <c r="G60" s="165" t="str">
        <f t="shared" si="13"/>
        <v/>
      </c>
      <c r="H60" s="165" t="str">
        <f t="shared" si="2"/>
        <v/>
      </c>
    </row>
    <row r="61" spans="1:9">
      <c r="A61" s="173" t="str">
        <f>IF(B61="","","Feb")</f>
        <v/>
      </c>
      <c r="B61" t="str">
        <f t="shared" si="6"/>
        <v/>
      </c>
      <c r="C61" s="165" t="str">
        <f t="shared" si="11"/>
        <v/>
      </c>
      <c r="D61" s="165" t="str">
        <f t="shared" si="7"/>
        <v/>
      </c>
      <c r="E61" s="165" t="str">
        <f t="shared" si="1"/>
        <v/>
      </c>
      <c r="F61" s="165" t="str">
        <f t="shared" si="12"/>
        <v/>
      </c>
      <c r="G61" s="165" t="str">
        <f t="shared" si="13"/>
        <v/>
      </c>
      <c r="H61" s="165" t="str">
        <f t="shared" si="2"/>
        <v/>
      </c>
    </row>
    <row r="62" spans="1:9">
      <c r="A62" s="173" t="str">
        <f>IF(B62="","","Mar")</f>
        <v/>
      </c>
      <c r="B62" t="str">
        <f t="shared" si="6"/>
        <v/>
      </c>
      <c r="C62" s="165" t="str">
        <f t="shared" ref="C62:C77" si="14">IF(B62="","",F61)</f>
        <v/>
      </c>
      <c r="D62" s="165" t="str">
        <f t="shared" si="7"/>
        <v/>
      </c>
      <c r="E62" s="165" t="str">
        <f t="shared" si="1"/>
        <v/>
      </c>
      <c r="F62" s="165" t="str">
        <f t="shared" ref="F62:F77" si="15">IF(B62="","",C62-E62)</f>
        <v/>
      </c>
      <c r="G62" s="165" t="str">
        <f t="shared" ref="G62:G77" si="16">IF(B62="","",G61+E62)</f>
        <v/>
      </c>
      <c r="H62" s="165" t="str">
        <f t="shared" si="2"/>
        <v/>
      </c>
    </row>
    <row r="63" spans="1:9">
      <c r="A63" s="173" t="str">
        <f>IF(B63="","","Apr")</f>
        <v/>
      </c>
      <c r="B63" t="str">
        <f t="shared" si="6"/>
        <v/>
      </c>
      <c r="C63" s="165" t="str">
        <f t="shared" si="14"/>
        <v/>
      </c>
      <c r="D63" s="165" t="str">
        <f t="shared" si="7"/>
        <v/>
      </c>
      <c r="E63" s="165" t="str">
        <f t="shared" si="1"/>
        <v/>
      </c>
      <c r="F63" s="165" t="str">
        <f t="shared" si="15"/>
        <v/>
      </c>
      <c r="G63" s="165" t="str">
        <f t="shared" si="16"/>
        <v/>
      </c>
      <c r="H63" s="165" t="str">
        <f t="shared" si="2"/>
        <v/>
      </c>
    </row>
    <row r="64" spans="1:9">
      <c r="A64" s="173" t="str">
        <f>IF(B64="","","May")</f>
        <v/>
      </c>
      <c r="B64" t="str">
        <f t="shared" si="6"/>
        <v/>
      </c>
      <c r="C64" s="165" t="str">
        <f t="shared" si="14"/>
        <v/>
      </c>
      <c r="D64" s="165" t="str">
        <f t="shared" si="7"/>
        <v/>
      </c>
      <c r="E64" s="165" t="str">
        <f t="shared" si="1"/>
        <v/>
      </c>
      <c r="F64" s="165" t="str">
        <f t="shared" si="15"/>
        <v/>
      </c>
      <c r="G64" s="165" t="str">
        <f t="shared" si="16"/>
        <v/>
      </c>
      <c r="H64" s="165" t="str">
        <f t="shared" si="2"/>
        <v/>
      </c>
    </row>
    <row r="65" spans="1:9">
      <c r="A65" s="173" t="str">
        <f>IF(B65="","","Jun")</f>
        <v/>
      </c>
      <c r="B65" t="str">
        <f t="shared" si="6"/>
        <v/>
      </c>
      <c r="C65" s="165" t="str">
        <f t="shared" si="14"/>
        <v/>
      </c>
      <c r="D65" s="165" t="str">
        <f t="shared" si="7"/>
        <v/>
      </c>
      <c r="E65" s="165" t="str">
        <f t="shared" si="1"/>
        <v/>
      </c>
      <c r="F65" s="165" t="str">
        <f t="shared" si="15"/>
        <v/>
      </c>
      <c r="G65" s="165" t="str">
        <f t="shared" si="16"/>
        <v/>
      </c>
      <c r="H65" s="165" t="str">
        <f t="shared" si="2"/>
        <v/>
      </c>
    </row>
    <row r="66" spans="1:9">
      <c r="A66" s="173" t="str">
        <f>IF(B66="","","Jul")</f>
        <v/>
      </c>
      <c r="B66" t="str">
        <f t="shared" si="6"/>
        <v/>
      </c>
      <c r="C66" s="165" t="str">
        <f t="shared" si="14"/>
        <v/>
      </c>
      <c r="D66" s="165" t="str">
        <f t="shared" si="7"/>
        <v/>
      </c>
      <c r="E66" s="165" t="str">
        <f t="shared" si="1"/>
        <v/>
      </c>
      <c r="F66" s="165" t="str">
        <f t="shared" si="15"/>
        <v/>
      </c>
      <c r="G66" s="165" t="str">
        <f t="shared" si="16"/>
        <v/>
      </c>
      <c r="H66" s="165" t="str">
        <f t="shared" si="2"/>
        <v/>
      </c>
    </row>
    <row r="67" spans="1:9">
      <c r="A67" s="173" t="str">
        <f>IF(B67="","","Aug")</f>
        <v/>
      </c>
      <c r="B67" t="str">
        <f t="shared" si="6"/>
        <v/>
      </c>
      <c r="C67" s="165" t="str">
        <f t="shared" si="14"/>
        <v/>
      </c>
      <c r="D67" s="165" t="str">
        <f t="shared" si="7"/>
        <v/>
      </c>
      <c r="E67" s="165" t="str">
        <f t="shared" si="1"/>
        <v/>
      </c>
      <c r="F67" s="165" t="str">
        <f t="shared" si="15"/>
        <v/>
      </c>
      <c r="G67" s="165" t="str">
        <f t="shared" si="16"/>
        <v/>
      </c>
      <c r="H67" s="165" t="str">
        <f t="shared" si="2"/>
        <v/>
      </c>
      <c r="I67" s="168" t="str">
        <f>IF(B60="","","Principal")</f>
        <v/>
      </c>
    </row>
    <row r="68" spans="1:9">
      <c r="A68" s="173" t="str">
        <f>IF(B68="","","Sep")</f>
        <v/>
      </c>
      <c r="B68" t="str">
        <f t="shared" si="6"/>
        <v/>
      </c>
      <c r="C68" s="165" t="str">
        <f t="shared" si="14"/>
        <v/>
      </c>
      <c r="D68" s="165" t="str">
        <f t="shared" si="7"/>
        <v/>
      </c>
      <c r="E68" s="165" t="str">
        <f t="shared" si="1"/>
        <v/>
      </c>
      <c r="F68" s="165" t="str">
        <f t="shared" si="15"/>
        <v/>
      </c>
      <c r="G68" s="165" t="str">
        <f t="shared" si="16"/>
        <v/>
      </c>
      <c r="H68" s="165" t="str">
        <f t="shared" si="2"/>
        <v/>
      </c>
      <c r="I68" s="169" t="str">
        <f>IF(B60="","",SUM(E60:E71))</f>
        <v/>
      </c>
    </row>
    <row r="69" spans="1:9">
      <c r="A69" s="173" t="str">
        <f>IF(B69="","","Oct")</f>
        <v/>
      </c>
      <c r="B69" t="str">
        <f t="shared" si="6"/>
        <v/>
      </c>
      <c r="C69" s="165" t="str">
        <f t="shared" si="14"/>
        <v/>
      </c>
      <c r="D69" s="165" t="str">
        <f t="shared" si="7"/>
        <v/>
      </c>
      <c r="E69" s="165" t="str">
        <f t="shared" si="1"/>
        <v/>
      </c>
      <c r="F69" s="165" t="str">
        <f t="shared" si="15"/>
        <v/>
      </c>
      <c r="G69" s="165" t="str">
        <f t="shared" si="16"/>
        <v/>
      </c>
      <c r="H69" s="165" t="str">
        <f t="shared" si="2"/>
        <v/>
      </c>
      <c r="I69" s="168" t="str">
        <f>IF(B60="","","Interest")</f>
        <v/>
      </c>
    </row>
    <row r="70" spans="1:9">
      <c r="A70" s="173" t="str">
        <f>IF(B70="","","Nov")</f>
        <v/>
      </c>
      <c r="B70" t="str">
        <f t="shared" si="6"/>
        <v/>
      </c>
      <c r="C70" s="165" t="str">
        <f t="shared" si="14"/>
        <v/>
      </c>
      <c r="D70" s="165" t="str">
        <f t="shared" si="7"/>
        <v/>
      </c>
      <c r="E70" s="165" t="str">
        <f t="shared" si="1"/>
        <v/>
      </c>
      <c r="F70" s="165" t="str">
        <f t="shared" si="15"/>
        <v/>
      </c>
      <c r="G70" s="165" t="str">
        <f t="shared" si="16"/>
        <v/>
      </c>
      <c r="H70" s="165" t="str">
        <f t="shared" si="2"/>
        <v/>
      </c>
      <c r="I70" s="169" t="str">
        <f>IF(B60="","",SUM(D60:D71))</f>
        <v/>
      </c>
    </row>
    <row r="71" spans="1:9">
      <c r="A71" s="174" t="str">
        <f>IF(B71="","","Dec")</f>
        <v/>
      </c>
      <c r="B71" s="170" t="str">
        <f t="shared" si="6"/>
        <v/>
      </c>
      <c r="C71" s="171" t="str">
        <f t="shared" si="14"/>
        <v/>
      </c>
      <c r="D71" s="171" t="str">
        <f t="shared" si="7"/>
        <v/>
      </c>
      <c r="E71" s="171" t="str">
        <f t="shared" si="1"/>
        <v/>
      </c>
      <c r="F71" s="171" t="str">
        <f t="shared" si="15"/>
        <v/>
      </c>
      <c r="G71" s="171" t="str">
        <f t="shared" si="16"/>
        <v/>
      </c>
      <c r="H71" s="171" t="str">
        <f t="shared" si="2"/>
        <v/>
      </c>
      <c r="I71" s="170" t="str">
        <f>IF(B60="","","End of year 5")</f>
        <v/>
      </c>
    </row>
    <row r="72" spans="1:9">
      <c r="A72" s="173" t="str">
        <f>IF(B72="","","Jan")</f>
        <v/>
      </c>
      <c r="B72" t="str">
        <f t="shared" si="6"/>
        <v/>
      </c>
      <c r="C72" s="165" t="str">
        <f t="shared" si="14"/>
        <v/>
      </c>
      <c r="D72" s="165" t="str">
        <f t="shared" si="7"/>
        <v/>
      </c>
      <c r="E72" s="165" t="str">
        <f t="shared" si="1"/>
        <v/>
      </c>
      <c r="F72" s="165" t="str">
        <f t="shared" si="15"/>
        <v/>
      </c>
      <c r="G72" s="165" t="str">
        <f t="shared" si="16"/>
        <v/>
      </c>
      <c r="H72" s="165" t="str">
        <f t="shared" si="2"/>
        <v/>
      </c>
    </row>
    <row r="73" spans="1:9">
      <c r="A73" s="173" t="str">
        <f>IF(B73="","","Feb")</f>
        <v/>
      </c>
      <c r="B73" t="str">
        <f t="shared" si="6"/>
        <v/>
      </c>
      <c r="C73" s="165" t="str">
        <f t="shared" si="14"/>
        <v/>
      </c>
      <c r="D73" s="165" t="str">
        <f t="shared" si="7"/>
        <v/>
      </c>
      <c r="E73" s="165" t="str">
        <f t="shared" si="1"/>
        <v/>
      </c>
      <c r="F73" s="165" t="str">
        <f t="shared" si="15"/>
        <v/>
      </c>
      <c r="G73" s="165" t="str">
        <f t="shared" si="16"/>
        <v/>
      </c>
      <c r="H73" s="165" t="str">
        <f t="shared" si="2"/>
        <v/>
      </c>
    </row>
    <row r="74" spans="1:9">
      <c r="A74" s="173" t="str">
        <f>IF(B74="","","Mar")</f>
        <v/>
      </c>
      <c r="B74" t="str">
        <f t="shared" si="6"/>
        <v/>
      </c>
      <c r="C74" s="165" t="str">
        <f t="shared" si="14"/>
        <v/>
      </c>
      <c r="D74" s="165" t="str">
        <f t="shared" si="7"/>
        <v/>
      </c>
      <c r="E74" s="165" t="str">
        <f t="shared" si="1"/>
        <v/>
      </c>
      <c r="F74" s="165" t="str">
        <f t="shared" si="15"/>
        <v/>
      </c>
      <c r="G74" s="165" t="str">
        <f t="shared" si="16"/>
        <v/>
      </c>
      <c r="H74" s="165" t="str">
        <f t="shared" si="2"/>
        <v/>
      </c>
    </row>
    <row r="75" spans="1:9">
      <c r="A75" s="173" t="str">
        <f>IF(B75="","","Apr")</f>
        <v/>
      </c>
      <c r="B75" t="str">
        <f t="shared" si="6"/>
        <v/>
      </c>
      <c r="C75" s="165" t="str">
        <f t="shared" si="14"/>
        <v/>
      </c>
      <c r="D75" s="165" t="str">
        <f t="shared" si="7"/>
        <v/>
      </c>
      <c r="E75" s="165" t="str">
        <f t="shared" si="1"/>
        <v/>
      </c>
      <c r="F75" s="165" t="str">
        <f t="shared" si="15"/>
        <v/>
      </c>
      <c r="G75" s="165" t="str">
        <f t="shared" si="16"/>
        <v/>
      </c>
      <c r="H75" s="165" t="str">
        <f t="shared" si="2"/>
        <v/>
      </c>
    </row>
    <row r="76" spans="1:9">
      <c r="A76" s="173" t="str">
        <f>IF(B76="","","May")</f>
        <v/>
      </c>
      <c r="B76" t="str">
        <f t="shared" si="6"/>
        <v/>
      </c>
      <c r="C76" s="165" t="str">
        <f t="shared" si="14"/>
        <v/>
      </c>
      <c r="D76" s="165" t="str">
        <f t="shared" si="7"/>
        <v/>
      </c>
      <c r="E76" s="165" t="str">
        <f t="shared" si="1"/>
        <v/>
      </c>
      <c r="F76" s="165" t="str">
        <f t="shared" si="15"/>
        <v/>
      </c>
      <c r="G76" s="165" t="str">
        <f t="shared" si="16"/>
        <v/>
      </c>
      <c r="H76" s="165" t="str">
        <f t="shared" si="2"/>
        <v/>
      </c>
    </row>
    <row r="77" spans="1:9">
      <c r="A77" s="173" t="str">
        <f>IF(B77="","","Jun")</f>
        <v/>
      </c>
      <c r="B77" t="str">
        <f t="shared" si="6"/>
        <v/>
      </c>
      <c r="C77" s="165" t="str">
        <f t="shared" si="14"/>
        <v/>
      </c>
      <c r="D77" s="165" t="str">
        <f t="shared" si="7"/>
        <v/>
      </c>
      <c r="E77" s="165" t="str">
        <f t="shared" ref="E77:E140" si="17">IF(B77="","",IF(C77+D77&lt;($G$3+$C$7),(C77+D77)-D77,($G$3+$C$7)-D77))</f>
        <v/>
      </c>
      <c r="F77" s="165" t="str">
        <f t="shared" si="15"/>
        <v/>
      </c>
      <c r="G77" s="165" t="str">
        <f t="shared" si="16"/>
        <v/>
      </c>
      <c r="H77" s="165" t="str">
        <f t="shared" ref="H77:H140" si="18">IF(B77="","",H76+D77)</f>
        <v/>
      </c>
    </row>
    <row r="78" spans="1:9">
      <c r="A78" s="173" t="str">
        <f>IF(B78="","","Jul")</f>
        <v/>
      </c>
      <c r="B78" t="str">
        <f t="shared" si="6"/>
        <v/>
      </c>
      <c r="C78" s="165" t="str">
        <f t="shared" ref="C78:C93" si="19">IF(B78="","",F77)</f>
        <v/>
      </c>
      <c r="D78" s="165" t="str">
        <f t="shared" si="7"/>
        <v/>
      </c>
      <c r="E78" s="165" t="str">
        <f t="shared" si="17"/>
        <v/>
      </c>
      <c r="F78" s="165" t="str">
        <f t="shared" ref="F78:F93" si="20">IF(B78="","",C78-E78)</f>
        <v/>
      </c>
      <c r="G78" s="165" t="str">
        <f t="shared" ref="G78:G93" si="21">IF(B78="","",G77+E78)</f>
        <v/>
      </c>
      <c r="H78" s="165" t="str">
        <f t="shared" si="18"/>
        <v/>
      </c>
    </row>
    <row r="79" spans="1:9">
      <c r="A79" s="173" t="str">
        <f>IF(B79="","","Aug")</f>
        <v/>
      </c>
      <c r="B79" t="str">
        <f t="shared" si="6"/>
        <v/>
      </c>
      <c r="C79" s="165" t="str">
        <f t="shared" si="19"/>
        <v/>
      </c>
      <c r="D79" s="165" t="str">
        <f t="shared" si="7"/>
        <v/>
      </c>
      <c r="E79" s="165" t="str">
        <f t="shared" si="17"/>
        <v/>
      </c>
      <c r="F79" s="165" t="str">
        <f t="shared" si="20"/>
        <v/>
      </c>
      <c r="G79" s="165" t="str">
        <f t="shared" si="21"/>
        <v/>
      </c>
      <c r="H79" s="165" t="str">
        <f t="shared" si="18"/>
        <v/>
      </c>
      <c r="I79" s="168" t="str">
        <f>IF(B72="","","Principal")</f>
        <v/>
      </c>
    </row>
    <row r="80" spans="1:9">
      <c r="A80" s="173" t="str">
        <f>IF(B80="","","Sep")</f>
        <v/>
      </c>
      <c r="B80" t="str">
        <f t="shared" si="6"/>
        <v/>
      </c>
      <c r="C80" s="165" t="str">
        <f t="shared" si="19"/>
        <v/>
      </c>
      <c r="D80" s="165" t="str">
        <f t="shared" si="7"/>
        <v/>
      </c>
      <c r="E80" s="165" t="str">
        <f t="shared" si="17"/>
        <v/>
      </c>
      <c r="F80" s="165" t="str">
        <f t="shared" si="20"/>
        <v/>
      </c>
      <c r="G80" s="165" t="str">
        <f t="shared" si="21"/>
        <v/>
      </c>
      <c r="H80" s="165" t="str">
        <f t="shared" si="18"/>
        <v/>
      </c>
      <c r="I80" s="169" t="str">
        <f>IF(B72="","",SUM(E72:E83))</f>
        <v/>
      </c>
    </row>
    <row r="81" spans="1:9">
      <c r="A81" s="173" t="str">
        <f>IF(B81="","","Oct")</f>
        <v/>
      </c>
      <c r="B81" t="str">
        <f t="shared" si="6"/>
        <v/>
      </c>
      <c r="C81" s="165" t="str">
        <f t="shared" si="19"/>
        <v/>
      </c>
      <c r="D81" s="165" t="str">
        <f t="shared" si="7"/>
        <v/>
      </c>
      <c r="E81" s="165" t="str">
        <f t="shared" si="17"/>
        <v/>
      </c>
      <c r="F81" s="165" t="str">
        <f t="shared" si="20"/>
        <v/>
      </c>
      <c r="G81" s="165" t="str">
        <f t="shared" si="21"/>
        <v/>
      </c>
      <c r="H81" s="165" t="str">
        <f t="shared" si="18"/>
        <v/>
      </c>
      <c r="I81" s="168" t="str">
        <f>IF(B72="","","Interest")</f>
        <v/>
      </c>
    </row>
    <row r="82" spans="1:9">
      <c r="A82" s="173" t="str">
        <f>IF(B82="","","Nov")</f>
        <v/>
      </c>
      <c r="B82" t="str">
        <f t="shared" si="6"/>
        <v/>
      </c>
      <c r="C82" s="165" t="str">
        <f t="shared" si="19"/>
        <v/>
      </c>
      <c r="D82" s="165" t="str">
        <f t="shared" si="7"/>
        <v/>
      </c>
      <c r="E82" s="165" t="str">
        <f t="shared" si="17"/>
        <v/>
      </c>
      <c r="F82" s="165" t="str">
        <f t="shared" si="20"/>
        <v/>
      </c>
      <c r="G82" s="165" t="str">
        <f t="shared" si="21"/>
        <v/>
      </c>
      <c r="H82" s="165" t="str">
        <f t="shared" si="18"/>
        <v/>
      </c>
      <c r="I82" s="169" t="str">
        <f>IF(B72="","",SUM(D72:D83))</f>
        <v/>
      </c>
    </row>
    <row r="83" spans="1:9">
      <c r="A83" s="174" t="str">
        <f>IF(B83="","","Dec")</f>
        <v/>
      </c>
      <c r="B83" s="170" t="str">
        <f t="shared" si="6"/>
        <v/>
      </c>
      <c r="C83" s="171" t="str">
        <f t="shared" si="19"/>
        <v/>
      </c>
      <c r="D83" s="171" t="str">
        <f t="shared" si="7"/>
        <v/>
      </c>
      <c r="E83" s="171" t="str">
        <f t="shared" si="17"/>
        <v/>
      </c>
      <c r="F83" s="171" t="str">
        <f t="shared" si="20"/>
        <v/>
      </c>
      <c r="G83" s="171" t="str">
        <f t="shared" si="21"/>
        <v/>
      </c>
      <c r="H83" s="171" t="str">
        <f t="shared" si="18"/>
        <v/>
      </c>
      <c r="I83" s="170" t="str">
        <f>IF(B72="","","End of year 6")</f>
        <v/>
      </c>
    </row>
    <row r="84" spans="1:9">
      <c r="A84" s="173" t="str">
        <f>IF(B84="","","Jan")</f>
        <v/>
      </c>
      <c r="B84" t="str">
        <f t="shared" si="6"/>
        <v/>
      </c>
      <c r="C84" s="165" t="str">
        <f t="shared" si="19"/>
        <v/>
      </c>
      <c r="D84" s="165" t="str">
        <f t="shared" si="7"/>
        <v/>
      </c>
      <c r="E84" s="165" t="str">
        <f t="shared" si="17"/>
        <v/>
      </c>
      <c r="F84" s="165" t="str">
        <f t="shared" si="20"/>
        <v/>
      </c>
      <c r="G84" s="165" t="str">
        <f t="shared" si="21"/>
        <v/>
      </c>
      <c r="H84" s="165" t="str">
        <f t="shared" si="18"/>
        <v/>
      </c>
    </row>
    <row r="85" spans="1:9">
      <c r="A85" s="173" t="str">
        <f>IF(B85="","","Feb")</f>
        <v/>
      </c>
      <c r="B85" t="str">
        <f t="shared" si="6"/>
        <v/>
      </c>
      <c r="C85" s="165" t="str">
        <f t="shared" si="19"/>
        <v/>
      </c>
      <c r="D85" s="165" t="str">
        <f t="shared" si="7"/>
        <v/>
      </c>
      <c r="E85" s="165" t="str">
        <f t="shared" si="17"/>
        <v/>
      </c>
      <c r="F85" s="165" t="str">
        <f t="shared" si="20"/>
        <v/>
      </c>
      <c r="G85" s="165" t="str">
        <f t="shared" si="21"/>
        <v/>
      </c>
      <c r="H85" s="165" t="str">
        <f t="shared" si="18"/>
        <v/>
      </c>
    </row>
    <row r="86" spans="1:9">
      <c r="A86" s="173" t="str">
        <f>IF(B86="","","Mar")</f>
        <v/>
      </c>
      <c r="B86" t="str">
        <f t="shared" si="6"/>
        <v/>
      </c>
      <c r="C86" s="165" t="str">
        <f t="shared" si="19"/>
        <v/>
      </c>
      <c r="D86" s="165" t="str">
        <f t="shared" si="7"/>
        <v/>
      </c>
      <c r="E86" s="165" t="str">
        <f t="shared" si="17"/>
        <v/>
      </c>
      <c r="F86" s="165" t="str">
        <f t="shared" si="20"/>
        <v/>
      </c>
      <c r="G86" s="165" t="str">
        <f t="shared" si="21"/>
        <v/>
      </c>
      <c r="H86" s="165" t="str">
        <f t="shared" si="18"/>
        <v/>
      </c>
    </row>
    <row r="87" spans="1:9">
      <c r="A87" s="173" t="str">
        <f>IF(B87="","","Apr")</f>
        <v/>
      </c>
      <c r="B87" t="str">
        <f t="shared" si="6"/>
        <v/>
      </c>
      <c r="C87" s="165" t="str">
        <f t="shared" si="19"/>
        <v/>
      </c>
      <c r="D87" s="165" t="str">
        <f t="shared" si="7"/>
        <v/>
      </c>
      <c r="E87" s="165" t="str">
        <f t="shared" si="17"/>
        <v/>
      </c>
      <c r="F87" s="165" t="str">
        <f t="shared" si="20"/>
        <v/>
      </c>
      <c r="G87" s="165" t="str">
        <f t="shared" si="21"/>
        <v/>
      </c>
      <c r="H87" s="165" t="str">
        <f t="shared" si="18"/>
        <v/>
      </c>
    </row>
    <row r="88" spans="1:9">
      <c r="A88" s="173" t="str">
        <f>IF(B88="","","May")</f>
        <v/>
      </c>
      <c r="B88" t="str">
        <f t="shared" si="6"/>
        <v/>
      </c>
      <c r="C88" s="165" t="str">
        <f t="shared" si="19"/>
        <v/>
      </c>
      <c r="D88" s="165" t="str">
        <f t="shared" si="7"/>
        <v/>
      </c>
      <c r="E88" s="165" t="str">
        <f t="shared" si="17"/>
        <v/>
      </c>
      <c r="F88" s="165" t="str">
        <f t="shared" si="20"/>
        <v/>
      </c>
      <c r="G88" s="165" t="str">
        <f t="shared" si="21"/>
        <v/>
      </c>
      <c r="H88" s="165" t="str">
        <f t="shared" si="18"/>
        <v/>
      </c>
    </row>
    <row r="89" spans="1:9">
      <c r="A89" s="173" t="str">
        <f>IF(B89="","","Jun")</f>
        <v/>
      </c>
      <c r="B89" t="str">
        <f t="shared" ref="B89:B152" si="22">IF(B88=ABS($C$5),"",IF(B88="","",IF(G88&gt;=$C$3,"",B88+1)))</f>
        <v/>
      </c>
      <c r="C89" s="165" t="str">
        <f t="shared" si="19"/>
        <v/>
      </c>
      <c r="D89" s="165" t="str">
        <f t="shared" si="7"/>
        <v/>
      </c>
      <c r="E89" s="165" t="str">
        <f t="shared" si="17"/>
        <v/>
      </c>
      <c r="F89" s="165" t="str">
        <f t="shared" si="20"/>
        <v/>
      </c>
      <c r="G89" s="165" t="str">
        <f t="shared" si="21"/>
        <v/>
      </c>
      <c r="H89" s="165" t="str">
        <f t="shared" si="18"/>
        <v/>
      </c>
    </row>
    <row r="90" spans="1:9">
      <c r="A90" s="173" t="str">
        <f>IF(B90="","","Jul")</f>
        <v/>
      </c>
      <c r="B90" t="str">
        <f t="shared" si="22"/>
        <v/>
      </c>
      <c r="C90" s="165" t="str">
        <f t="shared" si="19"/>
        <v/>
      </c>
      <c r="D90" s="165" t="str">
        <f t="shared" ref="D90:D153" si="23">IF(B90="","",C90*(($C$4/100)/12))</f>
        <v/>
      </c>
      <c r="E90" s="165" t="str">
        <f t="shared" si="17"/>
        <v/>
      </c>
      <c r="F90" s="165" t="str">
        <f t="shared" si="20"/>
        <v/>
      </c>
      <c r="G90" s="165" t="str">
        <f t="shared" si="21"/>
        <v/>
      </c>
      <c r="H90" s="165" t="str">
        <f t="shared" si="18"/>
        <v/>
      </c>
    </row>
    <row r="91" spans="1:9">
      <c r="A91" s="173" t="str">
        <f>IF(B91="","","Aug")</f>
        <v/>
      </c>
      <c r="B91" t="str">
        <f t="shared" si="22"/>
        <v/>
      </c>
      <c r="C91" s="165" t="str">
        <f t="shared" si="19"/>
        <v/>
      </c>
      <c r="D91" s="165" t="str">
        <f t="shared" si="23"/>
        <v/>
      </c>
      <c r="E91" s="165" t="str">
        <f t="shared" si="17"/>
        <v/>
      </c>
      <c r="F91" s="165" t="str">
        <f t="shared" si="20"/>
        <v/>
      </c>
      <c r="G91" s="165" t="str">
        <f t="shared" si="21"/>
        <v/>
      </c>
      <c r="H91" s="165" t="str">
        <f t="shared" si="18"/>
        <v/>
      </c>
      <c r="I91" s="168" t="str">
        <f>IF(B84="","","Principal")</f>
        <v/>
      </c>
    </row>
    <row r="92" spans="1:9">
      <c r="A92" s="173" t="str">
        <f>IF(B92="","","Sep")</f>
        <v/>
      </c>
      <c r="B92" t="str">
        <f t="shared" si="22"/>
        <v/>
      </c>
      <c r="C92" s="165" t="str">
        <f t="shared" si="19"/>
        <v/>
      </c>
      <c r="D92" s="165" t="str">
        <f t="shared" si="23"/>
        <v/>
      </c>
      <c r="E92" s="165" t="str">
        <f t="shared" si="17"/>
        <v/>
      </c>
      <c r="F92" s="165" t="str">
        <f t="shared" si="20"/>
        <v/>
      </c>
      <c r="G92" s="165" t="str">
        <f t="shared" si="21"/>
        <v/>
      </c>
      <c r="H92" s="165" t="str">
        <f t="shared" si="18"/>
        <v/>
      </c>
      <c r="I92" s="169" t="str">
        <f>IF(B84="","",SUM(E84:E95))</f>
        <v/>
      </c>
    </row>
    <row r="93" spans="1:9">
      <c r="A93" s="173" t="str">
        <f>IF(B93="","","Oct")</f>
        <v/>
      </c>
      <c r="B93" t="str">
        <f t="shared" si="22"/>
        <v/>
      </c>
      <c r="C93" s="165" t="str">
        <f t="shared" si="19"/>
        <v/>
      </c>
      <c r="D93" s="165" t="str">
        <f t="shared" si="23"/>
        <v/>
      </c>
      <c r="E93" s="165" t="str">
        <f t="shared" si="17"/>
        <v/>
      </c>
      <c r="F93" s="165" t="str">
        <f t="shared" si="20"/>
        <v/>
      </c>
      <c r="G93" s="165" t="str">
        <f t="shared" si="21"/>
        <v/>
      </c>
      <c r="H93" s="165" t="str">
        <f t="shared" si="18"/>
        <v/>
      </c>
      <c r="I93" s="168" t="str">
        <f>IF(B84="","","Interest")</f>
        <v/>
      </c>
    </row>
    <row r="94" spans="1:9">
      <c r="A94" s="173" t="str">
        <f>IF(B94="","","Nov")</f>
        <v/>
      </c>
      <c r="B94" t="str">
        <f t="shared" si="22"/>
        <v/>
      </c>
      <c r="C94" s="165" t="str">
        <f t="shared" ref="C94:C109" si="24">IF(B94="","",F93)</f>
        <v/>
      </c>
      <c r="D94" s="165" t="str">
        <f t="shared" si="23"/>
        <v/>
      </c>
      <c r="E94" s="165" t="str">
        <f t="shared" si="17"/>
        <v/>
      </c>
      <c r="F94" s="165" t="str">
        <f t="shared" ref="F94:F109" si="25">IF(B94="","",C94-E94)</f>
        <v/>
      </c>
      <c r="G94" s="165" t="str">
        <f t="shared" ref="G94:G109" si="26">IF(B94="","",G93+E94)</f>
        <v/>
      </c>
      <c r="H94" s="165" t="str">
        <f t="shared" si="18"/>
        <v/>
      </c>
      <c r="I94" s="169" t="str">
        <f>IF(B84="","",SUM(D84:D95))</f>
        <v/>
      </c>
    </row>
    <row r="95" spans="1:9">
      <c r="A95" s="174" t="str">
        <f>IF(B95="","","Dec")</f>
        <v/>
      </c>
      <c r="B95" s="170" t="str">
        <f t="shared" si="22"/>
        <v/>
      </c>
      <c r="C95" s="171" t="str">
        <f t="shared" si="24"/>
        <v/>
      </c>
      <c r="D95" s="171" t="str">
        <f t="shared" si="23"/>
        <v/>
      </c>
      <c r="E95" s="171" t="str">
        <f t="shared" si="17"/>
        <v/>
      </c>
      <c r="F95" s="171" t="str">
        <f t="shared" si="25"/>
        <v/>
      </c>
      <c r="G95" s="171" t="str">
        <f t="shared" si="26"/>
        <v/>
      </c>
      <c r="H95" s="171" t="str">
        <f t="shared" si="18"/>
        <v/>
      </c>
      <c r="I95" s="170" t="str">
        <f>IF(B84="","","End of year 7")</f>
        <v/>
      </c>
    </row>
    <row r="96" spans="1:9">
      <c r="A96" s="173" t="str">
        <f>IF(B96="","","Jan")</f>
        <v/>
      </c>
      <c r="B96" t="str">
        <f t="shared" si="22"/>
        <v/>
      </c>
      <c r="C96" s="165" t="str">
        <f t="shared" si="24"/>
        <v/>
      </c>
      <c r="D96" s="165" t="str">
        <f t="shared" si="23"/>
        <v/>
      </c>
      <c r="E96" s="165" t="str">
        <f t="shared" si="17"/>
        <v/>
      </c>
      <c r="F96" s="165" t="str">
        <f t="shared" si="25"/>
        <v/>
      </c>
      <c r="G96" s="165" t="str">
        <f t="shared" si="26"/>
        <v/>
      </c>
      <c r="H96" s="165" t="str">
        <f t="shared" si="18"/>
        <v/>
      </c>
    </row>
    <row r="97" spans="1:9">
      <c r="A97" s="173" t="str">
        <f>IF(B97="","","Feb")</f>
        <v/>
      </c>
      <c r="B97" t="str">
        <f t="shared" si="22"/>
        <v/>
      </c>
      <c r="C97" s="165" t="str">
        <f t="shared" si="24"/>
        <v/>
      </c>
      <c r="D97" s="165" t="str">
        <f t="shared" si="23"/>
        <v/>
      </c>
      <c r="E97" s="165" t="str">
        <f t="shared" si="17"/>
        <v/>
      </c>
      <c r="F97" s="165" t="str">
        <f t="shared" si="25"/>
        <v/>
      </c>
      <c r="G97" s="165" t="str">
        <f t="shared" si="26"/>
        <v/>
      </c>
      <c r="H97" s="165" t="str">
        <f t="shared" si="18"/>
        <v/>
      </c>
    </row>
    <row r="98" spans="1:9">
      <c r="A98" s="173" t="str">
        <f>IF(B98="","","Mar")</f>
        <v/>
      </c>
      <c r="B98" t="str">
        <f t="shared" si="22"/>
        <v/>
      </c>
      <c r="C98" s="165" t="str">
        <f t="shared" si="24"/>
        <v/>
      </c>
      <c r="D98" s="165" t="str">
        <f t="shared" si="23"/>
        <v/>
      </c>
      <c r="E98" s="165" t="str">
        <f t="shared" si="17"/>
        <v/>
      </c>
      <c r="F98" s="165" t="str">
        <f t="shared" si="25"/>
        <v/>
      </c>
      <c r="G98" s="165" t="str">
        <f t="shared" si="26"/>
        <v/>
      </c>
      <c r="H98" s="165" t="str">
        <f t="shared" si="18"/>
        <v/>
      </c>
    </row>
    <row r="99" spans="1:9">
      <c r="A99" s="173" t="str">
        <f>IF(B99="","","Apr")</f>
        <v/>
      </c>
      <c r="B99" t="str">
        <f t="shared" si="22"/>
        <v/>
      </c>
      <c r="C99" s="165" t="str">
        <f t="shared" si="24"/>
        <v/>
      </c>
      <c r="D99" s="165" t="str">
        <f t="shared" si="23"/>
        <v/>
      </c>
      <c r="E99" s="165" t="str">
        <f t="shared" si="17"/>
        <v/>
      </c>
      <c r="F99" s="165" t="str">
        <f t="shared" si="25"/>
        <v/>
      </c>
      <c r="G99" s="165" t="str">
        <f t="shared" si="26"/>
        <v/>
      </c>
      <c r="H99" s="165" t="str">
        <f t="shared" si="18"/>
        <v/>
      </c>
    </row>
    <row r="100" spans="1:9">
      <c r="A100" s="173" t="str">
        <f>IF(B100="","","May")</f>
        <v/>
      </c>
      <c r="B100" t="str">
        <f t="shared" si="22"/>
        <v/>
      </c>
      <c r="C100" s="165" t="str">
        <f t="shared" si="24"/>
        <v/>
      </c>
      <c r="D100" s="165" t="str">
        <f t="shared" si="23"/>
        <v/>
      </c>
      <c r="E100" s="165" t="str">
        <f t="shared" si="17"/>
        <v/>
      </c>
      <c r="F100" s="165" t="str">
        <f t="shared" si="25"/>
        <v/>
      </c>
      <c r="G100" s="165" t="str">
        <f t="shared" si="26"/>
        <v/>
      </c>
      <c r="H100" s="165" t="str">
        <f t="shared" si="18"/>
        <v/>
      </c>
    </row>
    <row r="101" spans="1:9">
      <c r="A101" s="173" t="str">
        <f>IF(B101="","","Jun")</f>
        <v/>
      </c>
      <c r="B101" t="str">
        <f t="shared" si="22"/>
        <v/>
      </c>
      <c r="C101" s="165" t="str">
        <f t="shared" si="24"/>
        <v/>
      </c>
      <c r="D101" s="165" t="str">
        <f t="shared" si="23"/>
        <v/>
      </c>
      <c r="E101" s="165" t="str">
        <f t="shared" si="17"/>
        <v/>
      </c>
      <c r="F101" s="165" t="str">
        <f t="shared" si="25"/>
        <v/>
      </c>
      <c r="G101" s="165" t="str">
        <f t="shared" si="26"/>
        <v/>
      </c>
      <c r="H101" s="165" t="str">
        <f t="shared" si="18"/>
        <v/>
      </c>
    </row>
    <row r="102" spans="1:9">
      <c r="A102" s="173" t="str">
        <f>IF(B102="","","Jul")</f>
        <v/>
      </c>
      <c r="B102" t="str">
        <f t="shared" si="22"/>
        <v/>
      </c>
      <c r="C102" s="165" t="str">
        <f t="shared" si="24"/>
        <v/>
      </c>
      <c r="D102" s="165" t="str">
        <f t="shared" si="23"/>
        <v/>
      </c>
      <c r="E102" s="165" t="str">
        <f t="shared" si="17"/>
        <v/>
      </c>
      <c r="F102" s="165" t="str">
        <f t="shared" si="25"/>
        <v/>
      </c>
      <c r="G102" s="165" t="str">
        <f t="shared" si="26"/>
        <v/>
      </c>
      <c r="H102" s="165" t="str">
        <f t="shared" si="18"/>
        <v/>
      </c>
    </row>
    <row r="103" spans="1:9">
      <c r="A103" s="173" t="str">
        <f>IF(B103="","","Aug")</f>
        <v/>
      </c>
      <c r="B103" t="str">
        <f t="shared" si="22"/>
        <v/>
      </c>
      <c r="C103" s="165" t="str">
        <f t="shared" si="24"/>
        <v/>
      </c>
      <c r="D103" s="165" t="str">
        <f t="shared" si="23"/>
        <v/>
      </c>
      <c r="E103" s="165" t="str">
        <f t="shared" si="17"/>
        <v/>
      </c>
      <c r="F103" s="165" t="str">
        <f t="shared" si="25"/>
        <v/>
      </c>
      <c r="G103" s="165" t="str">
        <f t="shared" si="26"/>
        <v/>
      </c>
      <c r="H103" s="165" t="str">
        <f t="shared" si="18"/>
        <v/>
      </c>
      <c r="I103" s="168" t="str">
        <f>IF(B96="","","Principal")</f>
        <v/>
      </c>
    </row>
    <row r="104" spans="1:9">
      <c r="A104" s="173" t="str">
        <f>IF(B104="","","Sep")</f>
        <v/>
      </c>
      <c r="B104" t="str">
        <f t="shared" si="22"/>
        <v/>
      </c>
      <c r="C104" s="165" t="str">
        <f t="shared" si="24"/>
        <v/>
      </c>
      <c r="D104" s="165" t="str">
        <f t="shared" si="23"/>
        <v/>
      </c>
      <c r="E104" s="165" t="str">
        <f t="shared" si="17"/>
        <v/>
      </c>
      <c r="F104" s="165" t="str">
        <f t="shared" si="25"/>
        <v/>
      </c>
      <c r="G104" s="165" t="str">
        <f t="shared" si="26"/>
        <v/>
      </c>
      <c r="H104" s="165" t="str">
        <f t="shared" si="18"/>
        <v/>
      </c>
      <c r="I104" s="169" t="str">
        <f>IF(B96="","",SUM(E96:E107))</f>
        <v/>
      </c>
    </row>
    <row r="105" spans="1:9">
      <c r="A105" s="173" t="str">
        <f>IF(B105="","","Oct")</f>
        <v/>
      </c>
      <c r="B105" t="str">
        <f t="shared" si="22"/>
        <v/>
      </c>
      <c r="C105" s="165" t="str">
        <f t="shared" si="24"/>
        <v/>
      </c>
      <c r="D105" s="165" t="str">
        <f t="shared" si="23"/>
        <v/>
      </c>
      <c r="E105" s="165" t="str">
        <f t="shared" si="17"/>
        <v/>
      </c>
      <c r="F105" s="165" t="str">
        <f t="shared" si="25"/>
        <v/>
      </c>
      <c r="G105" s="165" t="str">
        <f t="shared" si="26"/>
        <v/>
      </c>
      <c r="H105" s="165" t="str">
        <f t="shared" si="18"/>
        <v/>
      </c>
      <c r="I105" s="168" t="str">
        <f>IF(B96="","","Interest")</f>
        <v/>
      </c>
    </row>
    <row r="106" spans="1:9">
      <c r="A106" s="173" t="str">
        <f>IF(B106="","","Nov")</f>
        <v/>
      </c>
      <c r="B106" t="str">
        <f t="shared" si="22"/>
        <v/>
      </c>
      <c r="C106" s="165" t="str">
        <f t="shared" si="24"/>
        <v/>
      </c>
      <c r="D106" s="165" t="str">
        <f t="shared" si="23"/>
        <v/>
      </c>
      <c r="E106" s="165" t="str">
        <f t="shared" si="17"/>
        <v/>
      </c>
      <c r="F106" s="165" t="str">
        <f t="shared" si="25"/>
        <v/>
      </c>
      <c r="G106" s="165" t="str">
        <f t="shared" si="26"/>
        <v/>
      </c>
      <c r="H106" s="165" t="str">
        <f t="shared" si="18"/>
        <v/>
      </c>
      <c r="I106" s="169" t="str">
        <f>IF(B96="","",SUM(D96:D107))</f>
        <v/>
      </c>
    </row>
    <row r="107" spans="1:9">
      <c r="A107" s="174" t="str">
        <f>IF(B107="","","Dec")</f>
        <v/>
      </c>
      <c r="B107" s="170" t="str">
        <f t="shared" si="22"/>
        <v/>
      </c>
      <c r="C107" s="171" t="str">
        <f t="shared" si="24"/>
        <v/>
      </c>
      <c r="D107" s="171" t="str">
        <f t="shared" si="23"/>
        <v/>
      </c>
      <c r="E107" s="171" t="str">
        <f t="shared" si="17"/>
        <v/>
      </c>
      <c r="F107" s="171" t="str">
        <f t="shared" si="25"/>
        <v/>
      </c>
      <c r="G107" s="171" t="str">
        <f t="shared" si="26"/>
        <v/>
      </c>
      <c r="H107" s="171" t="str">
        <f t="shared" si="18"/>
        <v/>
      </c>
      <c r="I107" s="170" t="str">
        <f>IF(B96="","","End of year 8")</f>
        <v/>
      </c>
    </row>
    <row r="108" spans="1:9">
      <c r="A108" s="173" t="str">
        <f>IF(B108="","","Jan")</f>
        <v/>
      </c>
      <c r="B108" t="str">
        <f t="shared" si="22"/>
        <v/>
      </c>
      <c r="C108" s="165" t="str">
        <f t="shared" si="24"/>
        <v/>
      </c>
      <c r="D108" s="165" t="str">
        <f t="shared" si="23"/>
        <v/>
      </c>
      <c r="E108" s="165" t="str">
        <f t="shared" si="17"/>
        <v/>
      </c>
      <c r="F108" s="165" t="str">
        <f t="shared" si="25"/>
        <v/>
      </c>
      <c r="G108" s="165" t="str">
        <f t="shared" si="26"/>
        <v/>
      </c>
      <c r="H108" s="165" t="str">
        <f t="shared" si="18"/>
        <v/>
      </c>
    </row>
    <row r="109" spans="1:9">
      <c r="A109" s="173" t="str">
        <f>IF(B109="","","Feb")</f>
        <v/>
      </c>
      <c r="B109" t="str">
        <f t="shared" si="22"/>
        <v/>
      </c>
      <c r="C109" s="165" t="str">
        <f t="shared" si="24"/>
        <v/>
      </c>
      <c r="D109" s="165" t="str">
        <f t="shared" si="23"/>
        <v/>
      </c>
      <c r="E109" s="165" t="str">
        <f t="shared" si="17"/>
        <v/>
      </c>
      <c r="F109" s="165" t="str">
        <f t="shared" si="25"/>
        <v/>
      </c>
      <c r="G109" s="165" t="str">
        <f t="shared" si="26"/>
        <v/>
      </c>
      <c r="H109" s="165" t="str">
        <f t="shared" si="18"/>
        <v/>
      </c>
    </row>
    <row r="110" spans="1:9">
      <c r="A110" s="173" t="str">
        <f>IF(B110="","","Mar")</f>
        <v/>
      </c>
      <c r="B110" t="str">
        <f t="shared" si="22"/>
        <v/>
      </c>
      <c r="C110" s="165" t="str">
        <f t="shared" ref="C110:C125" si="27">IF(B110="","",F109)</f>
        <v/>
      </c>
      <c r="D110" s="165" t="str">
        <f t="shared" si="23"/>
        <v/>
      </c>
      <c r="E110" s="165" t="str">
        <f t="shared" si="17"/>
        <v/>
      </c>
      <c r="F110" s="165" t="str">
        <f t="shared" ref="F110:F125" si="28">IF(B110="","",C110-E110)</f>
        <v/>
      </c>
      <c r="G110" s="165" t="str">
        <f t="shared" ref="G110:G125" si="29">IF(B110="","",G109+E110)</f>
        <v/>
      </c>
      <c r="H110" s="165" t="str">
        <f t="shared" si="18"/>
        <v/>
      </c>
    </row>
    <row r="111" spans="1:9">
      <c r="A111" s="173" t="str">
        <f>IF(B111="","","Apr")</f>
        <v/>
      </c>
      <c r="B111" t="str">
        <f t="shared" si="22"/>
        <v/>
      </c>
      <c r="C111" s="165" t="str">
        <f t="shared" si="27"/>
        <v/>
      </c>
      <c r="D111" s="165" t="str">
        <f t="shared" si="23"/>
        <v/>
      </c>
      <c r="E111" s="165" t="str">
        <f t="shared" si="17"/>
        <v/>
      </c>
      <c r="F111" s="165" t="str">
        <f t="shared" si="28"/>
        <v/>
      </c>
      <c r="G111" s="165" t="str">
        <f t="shared" si="29"/>
        <v/>
      </c>
      <c r="H111" s="165" t="str">
        <f t="shared" si="18"/>
        <v/>
      </c>
    </row>
    <row r="112" spans="1:9">
      <c r="A112" s="173" t="str">
        <f>IF(B112="","","May")</f>
        <v/>
      </c>
      <c r="B112" t="str">
        <f t="shared" si="22"/>
        <v/>
      </c>
      <c r="C112" s="165" t="str">
        <f t="shared" si="27"/>
        <v/>
      </c>
      <c r="D112" s="165" t="str">
        <f t="shared" si="23"/>
        <v/>
      </c>
      <c r="E112" s="165" t="str">
        <f t="shared" si="17"/>
        <v/>
      </c>
      <c r="F112" s="165" t="str">
        <f t="shared" si="28"/>
        <v/>
      </c>
      <c r="G112" s="165" t="str">
        <f t="shared" si="29"/>
        <v/>
      </c>
      <c r="H112" s="165" t="str">
        <f t="shared" si="18"/>
        <v/>
      </c>
    </row>
    <row r="113" spans="1:9">
      <c r="A113" s="173" t="str">
        <f>IF(B113="","","Jun")</f>
        <v/>
      </c>
      <c r="B113" t="str">
        <f t="shared" si="22"/>
        <v/>
      </c>
      <c r="C113" s="165" t="str">
        <f t="shared" si="27"/>
        <v/>
      </c>
      <c r="D113" s="165" t="str">
        <f t="shared" si="23"/>
        <v/>
      </c>
      <c r="E113" s="165" t="str">
        <f t="shared" si="17"/>
        <v/>
      </c>
      <c r="F113" s="165" t="str">
        <f t="shared" si="28"/>
        <v/>
      </c>
      <c r="G113" s="165" t="str">
        <f t="shared" si="29"/>
        <v/>
      </c>
      <c r="H113" s="165" t="str">
        <f t="shared" si="18"/>
        <v/>
      </c>
    </row>
    <row r="114" spans="1:9">
      <c r="A114" s="173" t="str">
        <f>IF(B114="","","Jul")</f>
        <v/>
      </c>
      <c r="B114" t="str">
        <f t="shared" si="22"/>
        <v/>
      </c>
      <c r="C114" s="165" t="str">
        <f t="shared" si="27"/>
        <v/>
      </c>
      <c r="D114" s="165" t="str">
        <f t="shared" si="23"/>
        <v/>
      </c>
      <c r="E114" s="165" t="str">
        <f t="shared" si="17"/>
        <v/>
      </c>
      <c r="F114" s="165" t="str">
        <f t="shared" si="28"/>
        <v/>
      </c>
      <c r="G114" s="165" t="str">
        <f t="shared" si="29"/>
        <v/>
      </c>
      <c r="H114" s="165" t="str">
        <f t="shared" si="18"/>
        <v/>
      </c>
    </row>
    <row r="115" spans="1:9">
      <c r="A115" s="173" t="str">
        <f>IF(B115="","","Aug")</f>
        <v/>
      </c>
      <c r="B115" t="str">
        <f t="shared" si="22"/>
        <v/>
      </c>
      <c r="C115" s="165" t="str">
        <f t="shared" si="27"/>
        <v/>
      </c>
      <c r="D115" s="165" t="str">
        <f t="shared" si="23"/>
        <v/>
      </c>
      <c r="E115" s="165" t="str">
        <f t="shared" si="17"/>
        <v/>
      </c>
      <c r="F115" s="165" t="str">
        <f t="shared" si="28"/>
        <v/>
      </c>
      <c r="G115" s="165" t="str">
        <f t="shared" si="29"/>
        <v/>
      </c>
      <c r="H115" s="165" t="str">
        <f t="shared" si="18"/>
        <v/>
      </c>
      <c r="I115" s="168" t="str">
        <f>IF(B108="","","Principal")</f>
        <v/>
      </c>
    </row>
    <row r="116" spans="1:9">
      <c r="A116" s="173" t="str">
        <f>IF(B116="","","Sep")</f>
        <v/>
      </c>
      <c r="B116" t="str">
        <f t="shared" si="22"/>
        <v/>
      </c>
      <c r="C116" s="165" t="str">
        <f t="shared" si="27"/>
        <v/>
      </c>
      <c r="D116" s="165" t="str">
        <f t="shared" si="23"/>
        <v/>
      </c>
      <c r="E116" s="165" t="str">
        <f t="shared" si="17"/>
        <v/>
      </c>
      <c r="F116" s="165" t="str">
        <f t="shared" si="28"/>
        <v/>
      </c>
      <c r="G116" s="165" t="str">
        <f t="shared" si="29"/>
        <v/>
      </c>
      <c r="H116" s="165" t="str">
        <f t="shared" si="18"/>
        <v/>
      </c>
      <c r="I116" s="169" t="str">
        <f>IF(B108="","",SUM(E108:E119))</f>
        <v/>
      </c>
    </row>
    <row r="117" spans="1:9">
      <c r="A117" s="173" t="str">
        <f>IF(B117="","","Oct")</f>
        <v/>
      </c>
      <c r="B117" t="str">
        <f t="shared" si="22"/>
        <v/>
      </c>
      <c r="C117" s="165" t="str">
        <f t="shared" si="27"/>
        <v/>
      </c>
      <c r="D117" s="165" t="str">
        <f t="shared" si="23"/>
        <v/>
      </c>
      <c r="E117" s="165" t="str">
        <f t="shared" si="17"/>
        <v/>
      </c>
      <c r="F117" s="165" t="str">
        <f t="shared" si="28"/>
        <v/>
      </c>
      <c r="G117" s="165" t="str">
        <f t="shared" si="29"/>
        <v/>
      </c>
      <c r="H117" s="165" t="str">
        <f t="shared" si="18"/>
        <v/>
      </c>
      <c r="I117" s="168" t="str">
        <f>IF(B108="","","Interest")</f>
        <v/>
      </c>
    </row>
    <row r="118" spans="1:9">
      <c r="A118" s="173" t="str">
        <f>IF(B118="","","Nov")</f>
        <v/>
      </c>
      <c r="B118" t="str">
        <f t="shared" si="22"/>
        <v/>
      </c>
      <c r="C118" s="165" t="str">
        <f t="shared" si="27"/>
        <v/>
      </c>
      <c r="D118" s="165" t="str">
        <f t="shared" si="23"/>
        <v/>
      </c>
      <c r="E118" s="165" t="str">
        <f t="shared" si="17"/>
        <v/>
      </c>
      <c r="F118" s="165" t="str">
        <f t="shared" si="28"/>
        <v/>
      </c>
      <c r="G118" s="165" t="str">
        <f t="shared" si="29"/>
        <v/>
      </c>
      <c r="H118" s="165" t="str">
        <f t="shared" si="18"/>
        <v/>
      </c>
      <c r="I118" s="169" t="str">
        <f>IF(B108="","",SUM(D108:D119))</f>
        <v/>
      </c>
    </row>
    <row r="119" spans="1:9">
      <c r="A119" s="174" t="str">
        <f>IF(B119="","","Dec")</f>
        <v/>
      </c>
      <c r="B119" s="170" t="str">
        <f t="shared" si="22"/>
        <v/>
      </c>
      <c r="C119" s="171" t="str">
        <f t="shared" si="27"/>
        <v/>
      </c>
      <c r="D119" s="171" t="str">
        <f t="shared" si="23"/>
        <v/>
      </c>
      <c r="E119" s="171" t="str">
        <f t="shared" si="17"/>
        <v/>
      </c>
      <c r="F119" s="171" t="str">
        <f t="shared" si="28"/>
        <v/>
      </c>
      <c r="G119" s="171" t="str">
        <f t="shared" si="29"/>
        <v/>
      </c>
      <c r="H119" s="171" t="str">
        <f t="shared" si="18"/>
        <v/>
      </c>
      <c r="I119" s="170" t="str">
        <f>IF(B108="","","End of year 9")</f>
        <v/>
      </c>
    </row>
    <row r="120" spans="1:9">
      <c r="A120" s="173" t="str">
        <f>IF(B120="","","Jan")</f>
        <v/>
      </c>
      <c r="B120" t="str">
        <f t="shared" si="22"/>
        <v/>
      </c>
      <c r="C120" s="165" t="str">
        <f t="shared" si="27"/>
        <v/>
      </c>
      <c r="D120" s="165" t="str">
        <f t="shared" si="23"/>
        <v/>
      </c>
      <c r="E120" s="165" t="str">
        <f t="shared" si="17"/>
        <v/>
      </c>
      <c r="F120" s="165" t="str">
        <f t="shared" si="28"/>
        <v/>
      </c>
      <c r="G120" s="165" t="str">
        <f t="shared" si="29"/>
        <v/>
      </c>
      <c r="H120" s="165" t="str">
        <f t="shared" si="18"/>
        <v/>
      </c>
    </row>
    <row r="121" spans="1:9">
      <c r="A121" s="173" t="str">
        <f>IF(B121="","","Feb")</f>
        <v/>
      </c>
      <c r="B121" t="str">
        <f t="shared" si="22"/>
        <v/>
      </c>
      <c r="C121" s="165" t="str">
        <f t="shared" si="27"/>
        <v/>
      </c>
      <c r="D121" s="165" t="str">
        <f t="shared" si="23"/>
        <v/>
      </c>
      <c r="E121" s="165" t="str">
        <f t="shared" si="17"/>
        <v/>
      </c>
      <c r="F121" s="165" t="str">
        <f t="shared" si="28"/>
        <v/>
      </c>
      <c r="G121" s="165" t="str">
        <f t="shared" si="29"/>
        <v/>
      </c>
      <c r="H121" s="165" t="str">
        <f t="shared" si="18"/>
        <v/>
      </c>
    </row>
    <row r="122" spans="1:9">
      <c r="A122" s="173" t="str">
        <f>IF(B122="","","Mar")</f>
        <v/>
      </c>
      <c r="B122" t="str">
        <f t="shared" si="22"/>
        <v/>
      </c>
      <c r="C122" s="165" t="str">
        <f t="shared" si="27"/>
        <v/>
      </c>
      <c r="D122" s="165" t="str">
        <f t="shared" si="23"/>
        <v/>
      </c>
      <c r="E122" s="165" t="str">
        <f t="shared" si="17"/>
        <v/>
      </c>
      <c r="F122" s="165" t="str">
        <f t="shared" si="28"/>
        <v/>
      </c>
      <c r="G122" s="165" t="str">
        <f t="shared" si="29"/>
        <v/>
      </c>
      <c r="H122" s="165" t="str">
        <f t="shared" si="18"/>
        <v/>
      </c>
    </row>
    <row r="123" spans="1:9">
      <c r="A123" s="173" t="str">
        <f>IF(B123="","","Apr")</f>
        <v/>
      </c>
      <c r="B123" t="str">
        <f t="shared" si="22"/>
        <v/>
      </c>
      <c r="C123" s="165" t="str">
        <f t="shared" si="27"/>
        <v/>
      </c>
      <c r="D123" s="165" t="str">
        <f t="shared" si="23"/>
        <v/>
      </c>
      <c r="E123" s="165" t="str">
        <f t="shared" si="17"/>
        <v/>
      </c>
      <c r="F123" s="165" t="str">
        <f t="shared" si="28"/>
        <v/>
      </c>
      <c r="G123" s="165" t="str">
        <f t="shared" si="29"/>
        <v/>
      </c>
      <c r="H123" s="165" t="str">
        <f t="shared" si="18"/>
        <v/>
      </c>
    </row>
    <row r="124" spans="1:9">
      <c r="A124" s="173" t="str">
        <f>IF(B124="","","May")</f>
        <v/>
      </c>
      <c r="B124" t="str">
        <f t="shared" si="22"/>
        <v/>
      </c>
      <c r="C124" s="165" t="str">
        <f t="shared" si="27"/>
        <v/>
      </c>
      <c r="D124" s="165" t="str">
        <f t="shared" si="23"/>
        <v/>
      </c>
      <c r="E124" s="165" t="str">
        <f t="shared" si="17"/>
        <v/>
      </c>
      <c r="F124" s="165" t="str">
        <f t="shared" si="28"/>
        <v/>
      </c>
      <c r="G124" s="165" t="str">
        <f t="shared" si="29"/>
        <v/>
      </c>
      <c r="H124" s="165" t="str">
        <f t="shared" si="18"/>
        <v/>
      </c>
    </row>
    <row r="125" spans="1:9">
      <c r="A125" s="173" t="str">
        <f>IF(B125="","","Jun")</f>
        <v/>
      </c>
      <c r="B125" t="str">
        <f t="shared" si="22"/>
        <v/>
      </c>
      <c r="C125" s="165" t="str">
        <f t="shared" si="27"/>
        <v/>
      </c>
      <c r="D125" s="165" t="str">
        <f t="shared" si="23"/>
        <v/>
      </c>
      <c r="E125" s="165" t="str">
        <f t="shared" si="17"/>
        <v/>
      </c>
      <c r="F125" s="165" t="str">
        <f t="shared" si="28"/>
        <v/>
      </c>
      <c r="G125" s="165" t="str">
        <f t="shared" si="29"/>
        <v/>
      </c>
      <c r="H125" s="165" t="str">
        <f t="shared" si="18"/>
        <v/>
      </c>
    </row>
    <row r="126" spans="1:9">
      <c r="A126" s="173" t="str">
        <f>IF(B126="","","Jul")</f>
        <v/>
      </c>
      <c r="B126" t="str">
        <f t="shared" si="22"/>
        <v/>
      </c>
      <c r="C126" s="165" t="str">
        <f t="shared" ref="C126:C141" si="30">IF(B126="","",F125)</f>
        <v/>
      </c>
      <c r="D126" s="165" t="str">
        <f t="shared" si="23"/>
        <v/>
      </c>
      <c r="E126" s="165" t="str">
        <f t="shared" si="17"/>
        <v/>
      </c>
      <c r="F126" s="165" t="str">
        <f t="shared" ref="F126:F141" si="31">IF(B126="","",C126-E126)</f>
        <v/>
      </c>
      <c r="G126" s="165" t="str">
        <f t="shared" ref="G126:G141" si="32">IF(B126="","",G125+E126)</f>
        <v/>
      </c>
      <c r="H126" s="165" t="str">
        <f t="shared" si="18"/>
        <v/>
      </c>
    </row>
    <row r="127" spans="1:9">
      <c r="A127" s="173" t="str">
        <f>IF(B127="","","Aug")</f>
        <v/>
      </c>
      <c r="B127" t="str">
        <f t="shared" si="22"/>
        <v/>
      </c>
      <c r="C127" s="165" t="str">
        <f t="shared" si="30"/>
        <v/>
      </c>
      <c r="D127" s="165" t="str">
        <f t="shared" si="23"/>
        <v/>
      </c>
      <c r="E127" s="165" t="str">
        <f t="shared" si="17"/>
        <v/>
      </c>
      <c r="F127" s="165" t="str">
        <f t="shared" si="31"/>
        <v/>
      </c>
      <c r="G127" s="165" t="str">
        <f t="shared" si="32"/>
        <v/>
      </c>
      <c r="H127" s="165" t="str">
        <f t="shared" si="18"/>
        <v/>
      </c>
      <c r="I127" s="168" t="str">
        <f>IF(B120="","","Principal")</f>
        <v/>
      </c>
    </row>
    <row r="128" spans="1:9">
      <c r="A128" s="173" t="str">
        <f>IF(B128="","","Sep")</f>
        <v/>
      </c>
      <c r="B128" t="str">
        <f t="shared" si="22"/>
        <v/>
      </c>
      <c r="C128" s="165" t="str">
        <f t="shared" si="30"/>
        <v/>
      </c>
      <c r="D128" s="165" t="str">
        <f t="shared" si="23"/>
        <v/>
      </c>
      <c r="E128" s="165" t="str">
        <f t="shared" si="17"/>
        <v/>
      </c>
      <c r="F128" s="165" t="str">
        <f t="shared" si="31"/>
        <v/>
      </c>
      <c r="G128" s="165" t="str">
        <f t="shared" si="32"/>
        <v/>
      </c>
      <c r="H128" s="165" t="str">
        <f t="shared" si="18"/>
        <v/>
      </c>
      <c r="I128" s="169" t="str">
        <f>IF(B120="","",SUM(E120:E131))</f>
        <v/>
      </c>
    </row>
    <row r="129" spans="1:9">
      <c r="A129" s="173" t="str">
        <f>IF(B129="","","Oct")</f>
        <v/>
      </c>
      <c r="B129" t="str">
        <f t="shared" si="22"/>
        <v/>
      </c>
      <c r="C129" s="165" t="str">
        <f t="shared" si="30"/>
        <v/>
      </c>
      <c r="D129" s="165" t="str">
        <f t="shared" si="23"/>
        <v/>
      </c>
      <c r="E129" s="165" t="str">
        <f t="shared" si="17"/>
        <v/>
      </c>
      <c r="F129" s="165" t="str">
        <f t="shared" si="31"/>
        <v/>
      </c>
      <c r="G129" s="165" t="str">
        <f t="shared" si="32"/>
        <v/>
      </c>
      <c r="H129" s="165" t="str">
        <f t="shared" si="18"/>
        <v/>
      </c>
      <c r="I129" s="168" t="str">
        <f>IF(B120="","","Interest")</f>
        <v/>
      </c>
    </row>
    <row r="130" spans="1:9">
      <c r="A130" s="173" t="str">
        <f>IF(B130="","","Nov")</f>
        <v/>
      </c>
      <c r="B130" t="str">
        <f t="shared" si="22"/>
        <v/>
      </c>
      <c r="C130" s="165" t="str">
        <f t="shared" si="30"/>
        <v/>
      </c>
      <c r="D130" s="165" t="str">
        <f t="shared" si="23"/>
        <v/>
      </c>
      <c r="E130" s="165" t="str">
        <f t="shared" si="17"/>
        <v/>
      </c>
      <c r="F130" s="165" t="str">
        <f t="shared" si="31"/>
        <v/>
      </c>
      <c r="G130" s="165" t="str">
        <f t="shared" si="32"/>
        <v/>
      </c>
      <c r="H130" s="165" t="str">
        <f t="shared" si="18"/>
        <v/>
      </c>
      <c r="I130" s="169" t="str">
        <f>IF(B120="","",SUM(D120:D131))</f>
        <v/>
      </c>
    </row>
    <row r="131" spans="1:9">
      <c r="A131" s="174" t="str">
        <f>IF(B131="","","Dec")</f>
        <v/>
      </c>
      <c r="B131" s="170" t="str">
        <f t="shared" si="22"/>
        <v/>
      </c>
      <c r="C131" s="171" t="str">
        <f t="shared" si="30"/>
        <v/>
      </c>
      <c r="D131" s="171" t="str">
        <f t="shared" si="23"/>
        <v/>
      </c>
      <c r="E131" s="171" t="str">
        <f t="shared" si="17"/>
        <v/>
      </c>
      <c r="F131" s="171" t="str">
        <f t="shared" si="31"/>
        <v/>
      </c>
      <c r="G131" s="171" t="str">
        <f t="shared" si="32"/>
        <v/>
      </c>
      <c r="H131" s="171" t="str">
        <f t="shared" si="18"/>
        <v/>
      </c>
      <c r="I131" s="170" t="str">
        <f>IF(B120="","","End of year 10")</f>
        <v/>
      </c>
    </row>
    <row r="132" spans="1:9">
      <c r="A132" s="173" t="str">
        <f>IF(B132="","","Jan")</f>
        <v/>
      </c>
      <c r="B132" t="str">
        <f t="shared" si="22"/>
        <v/>
      </c>
      <c r="C132" s="165" t="str">
        <f t="shared" si="30"/>
        <v/>
      </c>
      <c r="D132" s="165" t="str">
        <f t="shared" si="23"/>
        <v/>
      </c>
      <c r="E132" s="165" t="str">
        <f t="shared" si="17"/>
        <v/>
      </c>
      <c r="F132" s="165" t="str">
        <f t="shared" si="31"/>
        <v/>
      </c>
      <c r="G132" s="165" t="str">
        <f t="shared" si="32"/>
        <v/>
      </c>
      <c r="H132" s="165" t="str">
        <f t="shared" si="18"/>
        <v/>
      </c>
    </row>
    <row r="133" spans="1:9">
      <c r="A133" s="173" t="str">
        <f>IF(B133="","","Feb")</f>
        <v/>
      </c>
      <c r="B133" t="str">
        <f t="shared" si="22"/>
        <v/>
      </c>
      <c r="C133" s="165" t="str">
        <f t="shared" si="30"/>
        <v/>
      </c>
      <c r="D133" s="165" t="str">
        <f t="shared" si="23"/>
        <v/>
      </c>
      <c r="E133" s="165" t="str">
        <f t="shared" si="17"/>
        <v/>
      </c>
      <c r="F133" s="165" t="str">
        <f t="shared" si="31"/>
        <v/>
      </c>
      <c r="G133" s="165" t="str">
        <f t="shared" si="32"/>
        <v/>
      </c>
      <c r="H133" s="165" t="str">
        <f t="shared" si="18"/>
        <v/>
      </c>
    </row>
    <row r="134" spans="1:9">
      <c r="A134" s="173" t="str">
        <f>IF(B134="","","Mar")</f>
        <v/>
      </c>
      <c r="B134" t="str">
        <f t="shared" si="22"/>
        <v/>
      </c>
      <c r="C134" s="165" t="str">
        <f t="shared" si="30"/>
        <v/>
      </c>
      <c r="D134" s="165" t="str">
        <f t="shared" si="23"/>
        <v/>
      </c>
      <c r="E134" s="165" t="str">
        <f t="shared" si="17"/>
        <v/>
      </c>
      <c r="F134" s="165" t="str">
        <f t="shared" si="31"/>
        <v/>
      </c>
      <c r="G134" s="165" t="str">
        <f t="shared" si="32"/>
        <v/>
      </c>
      <c r="H134" s="165" t="str">
        <f t="shared" si="18"/>
        <v/>
      </c>
    </row>
    <row r="135" spans="1:9">
      <c r="A135" s="173" t="str">
        <f>IF(B135="","","Apr")</f>
        <v/>
      </c>
      <c r="B135" t="str">
        <f t="shared" si="22"/>
        <v/>
      </c>
      <c r="C135" s="165" t="str">
        <f t="shared" si="30"/>
        <v/>
      </c>
      <c r="D135" s="165" t="str">
        <f t="shared" si="23"/>
        <v/>
      </c>
      <c r="E135" s="165" t="str">
        <f t="shared" si="17"/>
        <v/>
      </c>
      <c r="F135" s="165" t="str">
        <f t="shared" si="31"/>
        <v/>
      </c>
      <c r="G135" s="165" t="str">
        <f t="shared" si="32"/>
        <v/>
      </c>
      <c r="H135" s="165" t="str">
        <f t="shared" si="18"/>
        <v/>
      </c>
    </row>
    <row r="136" spans="1:9">
      <c r="A136" s="173" t="str">
        <f>IF(B136="","","May")</f>
        <v/>
      </c>
      <c r="B136" t="str">
        <f t="shared" si="22"/>
        <v/>
      </c>
      <c r="C136" s="165" t="str">
        <f t="shared" si="30"/>
        <v/>
      </c>
      <c r="D136" s="165" t="str">
        <f t="shared" si="23"/>
        <v/>
      </c>
      <c r="E136" s="165" t="str">
        <f t="shared" si="17"/>
        <v/>
      </c>
      <c r="F136" s="165" t="str">
        <f t="shared" si="31"/>
        <v/>
      </c>
      <c r="G136" s="165" t="str">
        <f t="shared" si="32"/>
        <v/>
      </c>
      <c r="H136" s="165" t="str">
        <f t="shared" si="18"/>
        <v/>
      </c>
    </row>
    <row r="137" spans="1:9">
      <c r="A137" s="173" t="str">
        <f>IF(B137="","","Jun")</f>
        <v/>
      </c>
      <c r="B137" t="str">
        <f t="shared" si="22"/>
        <v/>
      </c>
      <c r="C137" s="165" t="str">
        <f t="shared" si="30"/>
        <v/>
      </c>
      <c r="D137" s="165" t="str">
        <f t="shared" si="23"/>
        <v/>
      </c>
      <c r="E137" s="165" t="str">
        <f t="shared" si="17"/>
        <v/>
      </c>
      <c r="F137" s="165" t="str">
        <f t="shared" si="31"/>
        <v/>
      </c>
      <c r="G137" s="165" t="str">
        <f t="shared" si="32"/>
        <v/>
      </c>
      <c r="H137" s="165" t="str">
        <f t="shared" si="18"/>
        <v/>
      </c>
    </row>
    <row r="138" spans="1:9">
      <c r="A138" s="173" t="str">
        <f>IF(B138="","","Jul")</f>
        <v/>
      </c>
      <c r="B138" t="str">
        <f t="shared" si="22"/>
        <v/>
      </c>
      <c r="C138" s="165" t="str">
        <f t="shared" si="30"/>
        <v/>
      </c>
      <c r="D138" s="165" t="str">
        <f t="shared" si="23"/>
        <v/>
      </c>
      <c r="E138" s="165" t="str">
        <f t="shared" si="17"/>
        <v/>
      </c>
      <c r="F138" s="165" t="str">
        <f t="shared" si="31"/>
        <v/>
      </c>
      <c r="G138" s="165" t="str">
        <f t="shared" si="32"/>
        <v/>
      </c>
      <c r="H138" s="165" t="str">
        <f t="shared" si="18"/>
        <v/>
      </c>
    </row>
    <row r="139" spans="1:9">
      <c r="A139" s="173" t="str">
        <f>IF(B139="","","Aug")</f>
        <v/>
      </c>
      <c r="B139" t="str">
        <f t="shared" si="22"/>
        <v/>
      </c>
      <c r="C139" s="165" t="str">
        <f t="shared" si="30"/>
        <v/>
      </c>
      <c r="D139" s="165" t="str">
        <f t="shared" si="23"/>
        <v/>
      </c>
      <c r="E139" s="165" t="str">
        <f t="shared" si="17"/>
        <v/>
      </c>
      <c r="F139" s="165" t="str">
        <f t="shared" si="31"/>
        <v/>
      </c>
      <c r="G139" s="165" t="str">
        <f t="shared" si="32"/>
        <v/>
      </c>
      <c r="H139" s="165" t="str">
        <f t="shared" si="18"/>
        <v/>
      </c>
      <c r="I139" s="168" t="str">
        <f>IF(B132="","","Principal")</f>
        <v/>
      </c>
    </row>
    <row r="140" spans="1:9">
      <c r="A140" s="173" t="str">
        <f>IF(B140="","","Sep")</f>
        <v/>
      </c>
      <c r="B140" t="str">
        <f t="shared" si="22"/>
        <v/>
      </c>
      <c r="C140" s="165" t="str">
        <f t="shared" si="30"/>
        <v/>
      </c>
      <c r="D140" s="165" t="str">
        <f t="shared" si="23"/>
        <v/>
      </c>
      <c r="E140" s="165" t="str">
        <f t="shared" si="17"/>
        <v/>
      </c>
      <c r="F140" s="165" t="str">
        <f t="shared" si="31"/>
        <v/>
      </c>
      <c r="G140" s="165" t="str">
        <f t="shared" si="32"/>
        <v/>
      </c>
      <c r="H140" s="165" t="str">
        <f t="shared" si="18"/>
        <v/>
      </c>
      <c r="I140" s="169" t="str">
        <f>IF(B132="","",SUM(E132:E143))</f>
        <v/>
      </c>
    </row>
    <row r="141" spans="1:9">
      <c r="A141" s="173" t="str">
        <f>IF(B141="","","Oct")</f>
        <v/>
      </c>
      <c r="B141" t="str">
        <f t="shared" si="22"/>
        <v/>
      </c>
      <c r="C141" s="165" t="str">
        <f t="shared" si="30"/>
        <v/>
      </c>
      <c r="D141" s="165" t="str">
        <f t="shared" si="23"/>
        <v/>
      </c>
      <c r="E141" s="165" t="str">
        <f t="shared" ref="E141:E204" si="33">IF(B141="","",IF(C141+D141&lt;($G$3+$C$7),(C141+D141)-D141,($G$3+$C$7)-D141))</f>
        <v/>
      </c>
      <c r="F141" s="165" t="str">
        <f t="shared" si="31"/>
        <v/>
      </c>
      <c r="G141" s="165" t="str">
        <f t="shared" si="32"/>
        <v/>
      </c>
      <c r="H141" s="165" t="str">
        <f t="shared" ref="H141:H204" si="34">IF(B141="","",H140+D141)</f>
        <v/>
      </c>
      <c r="I141" s="168" t="str">
        <f>IF(B132="","","Interest")</f>
        <v/>
      </c>
    </row>
    <row r="142" spans="1:9">
      <c r="A142" s="173" t="str">
        <f>IF(B142="","","Nov")</f>
        <v/>
      </c>
      <c r="B142" t="str">
        <f t="shared" si="22"/>
        <v/>
      </c>
      <c r="C142" s="165" t="str">
        <f t="shared" ref="C142:C157" si="35">IF(B142="","",F141)</f>
        <v/>
      </c>
      <c r="D142" s="165" t="str">
        <f t="shared" si="23"/>
        <v/>
      </c>
      <c r="E142" s="165" t="str">
        <f t="shared" si="33"/>
        <v/>
      </c>
      <c r="F142" s="165" t="str">
        <f t="shared" ref="F142:F157" si="36">IF(B142="","",C142-E142)</f>
        <v/>
      </c>
      <c r="G142" s="165" t="str">
        <f t="shared" ref="G142:G157" si="37">IF(B142="","",G141+E142)</f>
        <v/>
      </c>
      <c r="H142" s="165" t="str">
        <f t="shared" si="34"/>
        <v/>
      </c>
      <c r="I142" s="169" t="str">
        <f>IF(B132="","",SUM(D132:D143))</f>
        <v/>
      </c>
    </row>
    <row r="143" spans="1:9">
      <c r="A143" s="174" t="str">
        <f>IF(B143="","","Dec")</f>
        <v/>
      </c>
      <c r="B143" s="170" t="str">
        <f t="shared" si="22"/>
        <v/>
      </c>
      <c r="C143" s="171" t="str">
        <f t="shared" si="35"/>
        <v/>
      </c>
      <c r="D143" s="171" t="str">
        <f t="shared" si="23"/>
        <v/>
      </c>
      <c r="E143" s="171" t="str">
        <f t="shared" si="33"/>
        <v/>
      </c>
      <c r="F143" s="171" t="str">
        <f t="shared" si="36"/>
        <v/>
      </c>
      <c r="G143" s="171" t="str">
        <f t="shared" si="37"/>
        <v/>
      </c>
      <c r="H143" s="171" t="str">
        <f t="shared" si="34"/>
        <v/>
      </c>
      <c r="I143" s="170" t="str">
        <f>IF(B132="","","End of year 11")</f>
        <v/>
      </c>
    </row>
    <row r="144" spans="1:9">
      <c r="A144" s="173" t="str">
        <f>IF(B144="","","Jan")</f>
        <v/>
      </c>
      <c r="B144" t="str">
        <f t="shared" si="22"/>
        <v/>
      </c>
      <c r="C144" s="165" t="str">
        <f t="shared" si="35"/>
        <v/>
      </c>
      <c r="D144" s="165" t="str">
        <f t="shared" si="23"/>
        <v/>
      </c>
      <c r="E144" s="165" t="str">
        <f t="shared" si="33"/>
        <v/>
      </c>
      <c r="F144" s="165" t="str">
        <f t="shared" si="36"/>
        <v/>
      </c>
      <c r="G144" s="165" t="str">
        <f t="shared" si="37"/>
        <v/>
      </c>
      <c r="H144" s="165" t="str">
        <f t="shared" si="34"/>
        <v/>
      </c>
    </row>
    <row r="145" spans="1:9">
      <c r="A145" s="173" t="str">
        <f>IF(B145="","","Feb")</f>
        <v/>
      </c>
      <c r="B145" t="str">
        <f t="shared" si="22"/>
        <v/>
      </c>
      <c r="C145" s="165" t="str">
        <f t="shared" si="35"/>
        <v/>
      </c>
      <c r="D145" s="165" t="str">
        <f t="shared" si="23"/>
        <v/>
      </c>
      <c r="E145" s="165" t="str">
        <f t="shared" si="33"/>
        <v/>
      </c>
      <c r="F145" s="165" t="str">
        <f t="shared" si="36"/>
        <v/>
      </c>
      <c r="G145" s="165" t="str">
        <f t="shared" si="37"/>
        <v/>
      </c>
      <c r="H145" s="165" t="str">
        <f t="shared" si="34"/>
        <v/>
      </c>
    </row>
    <row r="146" spans="1:9">
      <c r="A146" s="173" t="str">
        <f>IF(B146="","","Mar")</f>
        <v/>
      </c>
      <c r="B146" t="str">
        <f t="shared" si="22"/>
        <v/>
      </c>
      <c r="C146" s="165" t="str">
        <f t="shared" si="35"/>
        <v/>
      </c>
      <c r="D146" s="165" t="str">
        <f t="shared" si="23"/>
        <v/>
      </c>
      <c r="E146" s="165" t="str">
        <f t="shared" si="33"/>
        <v/>
      </c>
      <c r="F146" s="165" t="str">
        <f t="shared" si="36"/>
        <v/>
      </c>
      <c r="G146" s="165" t="str">
        <f t="shared" si="37"/>
        <v/>
      </c>
      <c r="H146" s="165" t="str">
        <f t="shared" si="34"/>
        <v/>
      </c>
    </row>
    <row r="147" spans="1:9">
      <c r="A147" s="173" t="str">
        <f>IF(B147="","","Apr")</f>
        <v/>
      </c>
      <c r="B147" t="str">
        <f t="shared" si="22"/>
        <v/>
      </c>
      <c r="C147" s="165" t="str">
        <f t="shared" si="35"/>
        <v/>
      </c>
      <c r="D147" s="165" t="str">
        <f t="shared" si="23"/>
        <v/>
      </c>
      <c r="E147" s="165" t="str">
        <f t="shared" si="33"/>
        <v/>
      </c>
      <c r="F147" s="165" t="str">
        <f t="shared" si="36"/>
        <v/>
      </c>
      <c r="G147" s="165" t="str">
        <f t="shared" si="37"/>
        <v/>
      </c>
      <c r="H147" s="165" t="str">
        <f t="shared" si="34"/>
        <v/>
      </c>
    </row>
    <row r="148" spans="1:9">
      <c r="A148" s="173" t="str">
        <f>IF(B148="","","May")</f>
        <v/>
      </c>
      <c r="B148" t="str">
        <f t="shared" si="22"/>
        <v/>
      </c>
      <c r="C148" s="165" t="str">
        <f t="shared" si="35"/>
        <v/>
      </c>
      <c r="D148" s="165" t="str">
        <f t="shared" si="23"/>
        <v/>
      </c>
      <c r="E148" s="165" t="str">
        <f t="shared" si="33"/>
        <v/>
      </c>
      <c r="F148" s="165" t="str">
        <f t="shared" si="36"/>
        <v/>
      </c>
      <c r="G148" s="165" t="str">
        <f t="shared" si="37"/>
        <v/>
      </c>
      <c r="H148" s="165" t="str">
        <f t="shared" si="34"/>
        <v/>
      </c>
    </row>
    <row r="149" spans="1:9">
      <c r="A149" s="173" t="str">
        <f>IF(B149="","","Jun")</f>
        <v/>
      </c>
      <c r="B149" t="str">
        <f t="shared" si="22"/>
        <v/>
      </c>
      <c r="C149" s="165" t="str">
        <f t="shared" si="35"/>
        <v/>
      </c>
      <c r="D149" s="165" t="str">
        <f t="shared" si="23"/>
        <v/>
      </c>
      <c r="E149" s="165" t="str">
        <f t="shared" si="33"/>
        <v/>
      </c>
      <c r="F149" s="165" t="str">
        <f t="shared" si="36"/>
        <v/>
      </c>
      <c r="G149" s="165" t="str">
        <f t="shared" si="37"/>
        <v/>
      </c>
      <c r="H149" s="165" t="str">
        <f t="shared" si="34"/>
        <v/>
      </c>
    </row>
    <row r="150" spans="1:9">
      <c r="A150" s="173" t="str">
        <f>IF(B150="","","Jul")</f>
        <v/>
      </c>
      <c r="B150" t="str">
        <f t="shared" si="22"/>
        <v/>
      </c>
      <c r="C150" s="165" t="str">
        <f t="shared" si="35"/>
        <v/>
      </c>
      <c r="D150" s="165" t="str">
        <f t="shared" si="23"/>
        <v/>
      </c>
      <c r="E150" s="165" t="str">
        <f t="shared" si="33"/>
        <v/>
      </c>
      <c r="F150" s="165" t="str">
        <f t="shared" si="36"/>
        <v/>
      </c>
      <c r="G150" s="165" t="str">
        <f t="shared" si="37"/>
        <v/>
      </c>
      <c r="H150" s="165" t="str">
        <f t="shared" si="34"/>
        <v/>
      </c>
    </row>
    <row r="151" spans="1:9">
      <c r="A151" s="173" t="str">
        <f>IF(B151="","","Aug")</f>
        <v/>
      </c>
      <c r="B151" t="str">
        <f t="shared" si="22"/>
        <v/>
      </c>
      <c r="C151" s="165" t="str">
        <f t="shared" si="35"/>
        <v/>
      </c>
      <c r="D151" s="165" t="str">
        <f t="shared" si="23"/>
        <v/>
      </c>
      <c r="E151" s="165" t="str">
        <f t="shared" si="33"/>
        <v/>
      </c>
      <c r="F151" s="165" t="str">
        <f t="shared" si="36"/>
        <v/>
      </c>
      <c r="G151" s="165" t="str">
        <f t="shared" si="37"/>
        <v/>
      </c>
      <c r="H151" s="165" t="str">
        <f t="shared" si="34"/>
        <v/>
      </c>
      <c r="I151" s="168" t="str">
        <f>IF(B144="","","Principal")</f>
        <v/>
      </c>
    </row>
    <row r="152" spans="1:9">
      <c r="A152" s="173" t="str">
        <f>IF(B152="","","Sep")</f>
        <v/>
      </c>
      <c r="B152" t="str">
        <f t="shared" si="22"/>
        <v/>
      </c>
      <c r="C152" s="165" t="str">
        <f t="shared" si="35"/>
        <v/>
      </c>
      <c r="D152" s="165" t="str">
        <f t="shared" si="23"/>
        <v/>
      </c>
      <c r="E152" s="165" t="str">
        <f t="shared" si="33"/>
        <v/>
      </c>
      <c r="F152" s="165" t="str">
        <f t="shared" si="36"/>
        <v/>
      </c>
      <c r="G152" s="165" t="str">
        <f t="shared" si="37"/>
        <v/>
      </c>
      <c r="H152" s="165" t="str">
        <f t="shared" si="34"/>
        <v/>
      </c>
      <c r="I152" s="169" t="str">
        <f>IF(B144="","",SUM(E144:E155))</f>
        <v/>
      </c>
    </row>
    <row r="153" spans="1:9">
      <c r="A153" s="173" t="str">
        <f>IF(B153="","","Oct")</f>
        <v/>
      </c>
      <c r="B153" t="str">
        <f t="shared" ref="B153:B216" si="38">IF(B152=ABS($C$5),"",IF(B152="","",IF(G152&gt;=$C$3,"",B152+1)))</f>
        <v/>
      </c>
      <c r="C153" s="165" t="str">
        <f t="shared" si="35"/>
        <v/>
      </c>
      <c r="D153" s="165" t="str">
        <f t="shared" si="23"/>
        <v/>
      </c>
      <c r="E153" s="165" t="str">
        <f t="shared" si="33"/>
        <v/>
      </c>
      <c r="F153" s="165" t="str">
        <f t="shared" si="36"/>
        <v/>
      </c>
      <c r="G153" s="165" t="str">
        <f t="shared" si="37"/>
        <v/>
      </c>
      <c r="H153" s="165" t="str">
        <f t="shared" si="34"/>
        <v/>
      </c>
      <c r="I153" s="168" t="str">
        <f>IF(B144="","","Interest")</f>
        <v/>
      </c>
    </row>
    <row r="154" spans="1:9">
      <c r="A154" s="173" t="str">
        <f>IF(B154="","","Nov")</f>
        <v/>
      </c>
      <c r="B154" t="str">
        <f t="shared" si="38"/>
        <v/>
      </c>
      <c r="C154" s="165" t="str">
        <f t="shared" si="35"/>
        <v/>
      </c>
      <c r="D154" s="165" t="str">
        <f t="shared" ref="D154:D217" si="39">IF(B154="","",C154*(($C$4/100)/12))</f>
        <v/>
      </c>
      <c r="E154" s="165" t="str">
        <f t="shared" si="33"/>
        <v/>
      </c>
      <c r="F154" s="165" t="str">
        <f t="shared" si="36"/>
        <v/>
      </c>
      <c r="G154" s="165" t="str">
        <f t="shared" si="37"/>
        <v/>
      </c>
      <c r="H154" s="165" t="str">
        <f t="shared" si="34"/>
        <v/>
      </c>
      <c r="I154" s="169" t="str">
        <f>IF(B144="","",SUM(D144:D155))</f>
        <v/>
      </c>
    </row>
    <row r="155" spans="1:9">
      <c r="A155" s="174" t="str">
        <f>IF(B155="","","Dec")</f>
        <v/>
      </c>
      <c r="B155" s="170" t="str">
        <f t="shared" si="38"/>
        <v/>
      </c>
      <c r="C155" s="171" t="str">
        <f t="shared" si="35"/>
        <v/>
      </c>
      <c r="D155" s="171" t="str">
        <f t="shared" si="39"/>
        <v/>
      </c>
      <c r="E155" s="171" t="str">
        <f t="shared" si="33"/>
        <v/>
      </c>
      <c r="F155" s="171" t="str">
        <f t="shared" si="36"/>
        <v/>
      </c>
      <c r="G155" s="171" t="str">
        <f t="shared" si="37"/>
        <v/>
      </c>
      <c r="H155" s="171" t="str">
        <f t="shared" si="34"/>
        <v/>
      </c>
      <c r="I155" s="170" t="str">
        <f>IF(B144="","","End of year 12")</f>
        <v/>
      </c>
    </row>
    <row r="156" spans="1:9">
      <c r="A156" s="173" t="str">
        <f>IF(B156="","","Jan")</f>
        <v/>
      </c>
      <c r="B156" t="str">
        <f t="shared" si="38"/>
        <v/>
      </c>
      <c r="C156" s="165" t="str">
        <f t="shared" si="35"/>
        <v/>
      </c>
      <c r="D156" s="165" t="str">
        <f t="shared" si="39"/>
        <v/>
      </c>
      <c r="E156" s="165" t="str">
        <f t="shared" si="33"/>
        <v/>
      </c>
      <c r="F156" s="165" t="str">
        <f t="shared" si="36"/>
        <v/>
      </c>
      <c r="G156" s="165" t="str">
        <f t="shared" si="37"/>
        <v/>
      </c>
      <c r="H156" s="165" t="str">
        <f t="shared" si="34"/>
        <v/>
      </c>
    </row>
    <row r="157" spans="1:9">
      <c r="A157" s="173" t="str">
        <f>IF(B157="","","Feb")</f>
        <v/>
      </c>
      <c r="B157" t="str">
        <f t="shared" si="38"/>
        <v/>
      </c>
      <c r="C157" s="165" t="str">
        <f t="shared" si="35"/>
        <v/>
      </c>
      <c r="D157" s="165" t="str">
        <f t="shared" si="39"/>
        <v/>
      </c>
      <c r="E157" s="165" t="str">
        <f t="shared" si="33"/>
        <v/>
      </c>
      <c r="F157" s="165" t="str">
        <f t="shared" si="36"/>
        <v/>
      </c>
      <c r="G157" s="165" t="str">
        <f t="shared" si="37"/>
        <v/>
      </c>
      <c r="H157" s="165" t="str">
        <f t="shared" si="34"/>
        <v/>
      </c>
    </row>
    <row r="158" spans="1:9">
      <c r="A158" s="173" t="str">
        <f>IF(B158="","","Mar")</f>
        <v/>
      </c>
      <c r="B158" t="str">
        <f t="shared" si="38"/>
        <v/>
      </c>
      <c r="C158" s="165" t="str">
        <f t="shared" ref="C158:C173" si="40">IF(B158="","",F157)</f>
        <v/>
      </c>
      <c r="D158" s="165" t="str">
        <f t="shared" si="39"/>
        <v/>
      </c>
      <c r="E158" s="165" t="str">
        <f t="shared" si="33"/>
        <v/>
      </c>
      <c r="F158" s="165" t="str">
        <f t="shared" ref="F158:F173" si="41">IF(B158="","",C158-E158)</f>
        <v/>
      </c>
      <c r="G158" s="165" t="str">
        <f t="shared" ref="G158:G173" si="42">IF(B158="","",G157+E158)</f>
        <v/>
      </c>
      <c r="H158" s="165" t="str">
        <f t="shared" si="34"/>
        <v/>
      </c>
    </row>
    <row r="159" spans="1:9">
      <c r="A159" s="173" t="str">
        <f>IF(B159="","","Apr")</f>
        <v/>
      </c>
      <c r="B159" t="str">
        <f t="shared" si="38"/>
        <v/>
      </c>
      <c r="C159" s="165" t="str">
        <f t="shared" si="40"/>
        <v/>
      </c>
      <c r="D159" s="165" t="str">
        <f t="shared" si="39"/>
        <v/>
      </c>
      <c r="E159" s="165" t="str">
        <f t="shared" si="33"/>
        <v/>
      </c>
      <c r="F159" s="165" t="str">
        <f t="shared" si="41"/>
        <v/>
      </c>
      <c r="G159" s="165" t="str">
        <f t="shared" si="42"/>
        <v/>
      </c>
      <c r="H159" s="165" t="str">
        <f t="shared" si="34"/>
        <v/>
      </c>
    </row>
    <row r="160" spans="1:9">
      <c r="A160" s="173" t="str">
        <f>IF(B160="","","May")</f>
        <v/>
      </c>
      <c r="B160" t="str">
        <f t="shared" si="38"/>
        <v/>
      </c>
      <c r="C160" s="165" t="str">
        <f t="shared" si="40"/>
        <v/>
      </c>
      <c r="D160" s="165" t="str">
        <f t="shared" si="39"/>
        <v/>
      </c>
      <c r="E160" s="165" t="str">
        <f t="shared" si="33"/>
        <v/>
      </c>
      <c r="F160" s="165" t="str">
        <f t="shared" si="41"/>
        <v/>
      </c>
      <c r="G160" s="165" t="str">
        <f t="shared" si="42"/>
        <v/>
      </c>
      <c r="H160" s="165" t="str">
        <f t="shared" si="34"/>
        <v/>
      </c>
    </row>
    <row r="161" spans="1:9">
      <c r="A161" s="173" t="str">
        <f>IF(B161="","","Jun")</f>
        <v/>
      </c>
      <c r="B161" t="str">
        <f t="shared" si="38"/>
        <v/>
      </c>
      <c r="C161" s="165" t="str">
        <f t="shared" si="40"/>
        <v/>
      </c>
      <c r="D161" s="165" t="str">
        <f t="shared" si="39"/>
        <v/>
      </c>
      <c r="E161" s="165" t="str">
        <f t="shared" si="33"/>
        <v/>
      </c>
      <c r="F161" s="165" t="str">
        <f t="shared" si="41"/>
        <v/>
      </c>
      <c r="G161" s="165" t="str">
        <f t="shared" si="42"/>
        <v/>
      </c>
      <c r="H161" s="165" t="str">
        <f t="shared" si="34"/>
        <v/>
      </c>
    </row>
    <row r="162" spans="1:9">
      <c r="A162" s="173" t="str">
        <f>IF(B162="","","Jul")</f>
        <v/>
      </c>
      <c r="B162" t="str">
        <f t="shared" si="38"/>
        <v/>
      </c>
      <c r="C162" s="165" t="str">
        <f t="shared" si="40"/>
        <v/>
      </c>
      <c r="D162" s="165" t="str">
        <f t="shared" si="39"/>
        <v/>
      </c>
      <c r="E162" s="165" t="str">
        <f t="shared" si="33"/>
        <v/>
      </c>
      <c r="F162" s="165" t="str">
        <f t="shared" si="41"/>
        <v/>
      </c>
      <c r="G162" s="165" t="str">
        <f t="shared" si="42"/>
        <v/>
      </c>
      <c r="H162" s="165" t="str">
        <f t="shared" si="34"/>
        <v/>
      </c>
    </row>
    <row r="163" spans="1:9">
      <c r="A163" s="173" t="str">
        <f>IF(B163="","","Aug")</f>
        <v/>
      </c>
      <c r="B163" t="str">
        <f t="shared" si="38"/>
        <v/>
      </c>
      <c r="C163" s="165" t="str">
        <f t="shared" si="40"/>
        <v/>
      </c>
      <c r="D163" s="165" t="str">
        <f t="shared" si="39"/>
        <v/>
      </c>
      <c r="E163" s="165" t="str">
        <f t="shared" si="33"/>
        <v/>
      </c>
      <c r="F163" s="165" t="str">
        <f t="shared" si="41"/>
        <v/>
      </c>
      <c r="G163" s="165" t="str">
        <f t="shared" si="42"/>
        <v/>
      </c>
      <c r="H163" s="165" t="str">
        <f t="shared" si="34"/>
        <v/>
      </c>
      <c r="I163" s="168" t="str">
        <f>IF(B156="","","Principal")</f>
        <v/>
      </c>
    </row>
    <row r="164" spans="1:9">
      <c r="A164" s="173" t="str">
        <f>IF(B164="","","Sep")</f>
        <v/>
      </c>
      <c r="B164" t="str">
        <f t="shared" si="38"/>
        <v/>
      </c>
      <c r="C164" s="165" t="str">
        <f t="shared" si="40"/>
        <v/>
      </c>
      <c r="D164" s="165" t="str">
        <f t="shared" si="39"/>
        <v/>
      </c>
      <c r="E164" s="165" t="str">
        <f t="shared" si="33"/>
        <v/>
      </c>
      <c r="F164" s="165" t="str">
        <f t="shared" si="41"/>
        <v/>
      </c>
      <c r="G164" s="165" t="str">
        <f t="shared" si="42"/>
        <v/>
      </c>
      <c r="H164" s="165" t="str">
        <f t="shared" si="34"/>
        <v/>
      </c>
      <c r="I164" s="169" t="str">
        <f>IF(B156="","",SUM(E156:E167))</f>
        <v/>
      </c>
    </row>
    <row r="165" spans="1:9">
      <c r="A165" s="173" t="str">
        <f>IF(B165="","","Oct")</f>
        <v/>
      </c>
      <c r="B165" t="str">
        <f t="shared" si="38"/>
        <v/>
      </c>
      <c r="C165" s="165" t="str">
        <f t="shared" si="40"/>
        <v/>
      </c>
      <c r="D165" s="165" t="str">
        <f t="shared" si="39"/>
        <v/>
      </c>
      <c r="E165" s="165" t="str">
        <f t="shared" si="33"/>
        <v/>
      </c>
      <c r="F165" s="165" t="str">
        <f t="shared" si="41"/>
        <v/>
      </c>
      <c r="G165" s="165" t="str">
        <f t="shared" si="42"/>
        <v/>
      </c>
      <c r="H165" s="165" t="str">
        <f t="shared" si="34"/>
        <v/>
      </c>
      <c r="I165" s="168" t="str">
        <f>IF(B156="","","Interest")</f>
        <v/>
      </c>
    </row>
    <row r="166" spans="1:9">
      <c r="A166" s="173" t="str">
        <f>IF(B166="","","Nov")</f>
        <v/>
      </c>
      <c r="B166" t="str">
        <f t="shared" si="38"/>
        <v/>
      </c>
      <c r="C166" s="165" t="str">
        <f t="shared" si="40"/>
        <v/>
      </c>
      <c r="D166" s="165" t="str">
        <f t="shared" si="39"/>
        <v/>
      </c>
      <c r="E166" s="165" t="str">
        <f t="shared" si="33"/>
        <v/>
      </c>
      <c r="F166" s="165" t="str">
        <f t="shared" si="41"/>
        <v/>
      </c>
      <c r="G166" s="165" t="str">
        <f t="shared" si="42"/>
        <v/>
      </c>
      <c r="H166" s="165" t="str">
        <f t="shared" si="34"/>
        <v/>
      </c>
      <c r="I166" s="169" t="str">
        <f>IF(B156="","",SUM(D156:D167))</f>
        <v/>
      </c>
    </row>
    <row r="167" spans="1:9">
      <c r="A167" s="174" t="str">
        <f>IF(B167="","","Dec")</f>
        <v/>
      </c>
      <c r="B167" s="170" t="str">
        <f t="shared" si="38"/>
        <v/>
      </c>
      <c r="C167" s="171" t="str">
        <f t="shared" si="40"/>
        <v/>
      </c>
      <c r="D167" s="171" t="str">
        <f t="shared" si="39"/>
        <v/>
      </c>
      <c r="E167" s="171" t="str">
        <f t="shared" si="33"/>
        <v/>
      </c>
      <c r="F167" s="171" t="str">
        <f t="shared" si="41"/>
        <v/>
      </c>
      <c r="G167" s="171" t="str">
        <f t="shared" si="42"/>
        <v/>
      </c>
      <c r="H167" s="171" t="str">
        <f t="shared" si="34"/>
        <v/>
      </c>
      <c r="I167" s="170" t="str">
        <f>IF(B156="","","End of year 13")</f>
        <v/>
      </c>
    </row>
    <row r="168" spans="1:9">
      <c r="A168" s="173" t="str">
        <f>IF(B168="","","Jan")</f>
        <v/>
      </c>
      <c r="B168" t="str">
        <f t="shared" si="38"/>
        <v/>
      </c>
      <c r="C168" s="165" t="str">
        <f t="shared" si="40"/>
        <v/>
      </c>
      <c r="D168" s="165" t="str">
        <f t="shared" si="39"/>
        <v/>
      </c>
      <c r="E168" s="165" t="str">
        <f t="shared" si="33"/>
        <v/>
      </c>
      <c r="F168" s="165" t="str">
        <f t="shared" si="41"/>
        <v/>
      </c>
      <c r="G168" s="165" t="str">
        <f t="shared" si="42"/>
        <v/>
      </c>
      <c r="H168" s="165" t="str">
        <f t="shared" si="34"/>
        <v/>
      </c>
    </row>
    <row r="169" spans="1:9">
      <c r="A169" s="173" t="str">
        <f>IF(B169="","","Feb")</f>
        <v/>
      </c>
      <c r="B169" t="str">
        <f t="shared" si="38"/>
        <v/>
      </c>
      <c r="C169" s="165" t="str">
        <f t="shared" si="40"/>
        <v/>
      </c>
      <c r="D169" s="165" t="str">
        <f t="shared" si="39"/>
        <v/>
      </c>
      <c r="E169" s="165" t="str">
        <f t="shared" si="33"/>
        <v/>
      </c>
      <c r="F169" s="165" t="str">
        <f t="shared" si="41"/>
        <v/>
      </c>
      <c r="G169" s="165" t="str">
        <f t="shared" si="42"/>
        <v/>
      </c>
      <c r="H169" s="165" t="str">
        <f t="shared" si="34"/>
        <v/>
      </c>
    </row>
    <row r="170" spans="1:9">
      <c r="A170" s="173" t="str">
        <f>IF(B170="","","Mar")</f>
        <v/>
      </c>
      <c r="B170" t="str">
        <f t="shared" si="38"/>
        <v/>
      </c>
      <c r="C170" s="165" t="str">
        <f t="shared" si="40"/>
        <v/>
      </c>
      <c r="D170" s="165" t="str">
        <f t="shared" si="39"/>
        <v/>
      </c>
      <c r="E170" s="165" t="str">
        <f t="shared" si="33"/>
        <v/>
      </c>
      <c r="F170" s="165" t="str">
        <f t="shared" si="41"/>
        <v/>
      </c>
      <c r="G170" s="165" t="str">
        <f t="shared" si="42"/>
        <v/>
      </c>
      <c r="H170" s="165" t="str">
        <f t="shared" si="34"/>
        <v/>
      </c>
    </row>
    <row r="171" spans="1:9">
      <c r="A171" s="173" t="str">
        <f>IF(B171="","","Apr")</f>
        <v/>
      </c>
      <c r="B171" t="str">
        <f t="shared" si="38"/>
        <v/>
      </c>
      <c r="C171" s="165" t="str">
        <f t="shared" si="40"/>
        <v/>
      </c>
      <c r="D171" s="165" t="str">
        <f t="shared" si="39"/>
        <v/>
      </c>
      <c r="E171" s="165" t="str">
        <f t="shared" si="33"/>
        <v/>
      </c>
      <c r="F171" s="165" t="str">
        <f t="shared" si="41"/>
        <v/>
      </c>
      <c r="G171" s="165" t="str">
        <f t="shared" si="42"/>
        <v/>
      </c>
      <c r="H171" s="165" t="str">
        <f t="shared" si="34"/>
        <v/>
      </c>
    </row>
    <row r="172" spans="1:9">
      <c r="A172" s="173" t="str">
        <f>IF(B172="","","May")</f>
        <v/>
      </c>
      <c r="B172" t="str">
        <f t="shared" si="38"/>
        <v/>
      </c>
      <c r="C172" s="165" t="str">
        <f t="shared" si="40"/>
        <v/>
      </c>
      <c r="D172" s="165" t="str">
        <f t="shared" si="39"/>
        <v/>
      </c>
      <c r="E172" s="165" t="str">
        <f t="shared" si="33"/>
        <v/>
      </c>
      <c r="F172" s="165" t="str">
        <f t="shared" si="41"/>
        <v/>
      </c>
      <c r="G172" s="165" t="str">
        <f t="shared" si="42"/>
        <v/>
      </c>
      <c r="H172" s="165" t="str">
        <f t="shared" si="34"/>
        <v/>
      </c>
    </row>
    <row r="173" spans="1:9">
      <c r="A173" s="173" t="str">
        <f>IF(B173="","","Jun")</f>
        <v/>
      </c>
      <c r="B173" t="str">
        <f t="shared" si="38"/>
        <v/>
      </c>
      <c r="C173" s="165" t="str">
        <f t="shared" si="40"/>
        <v/>
      </c>
      <c r="D173" s="165" t="str">
        <f t="shared" si="39"/>
        <v/>
      </c>
      <c r="E173" s="165" t="str">
        <f t="shared" si="33"/>
        <v/>
      </c>
      <c r="F173" s="165" t="str">
        <f t="shared" si="41"/>
        <v/>
      </c>
      <c r="G173" s="165" t="str">
        <f t="shared" si="42"/>
        <v/>
      </c>
      <c r="H173" s="165" t="str">
        <f t="shared" si="34"/>
        <v/>
      </c>
    </row>
    <row r="174" spans="1:9">
      <c r="A174" s="173" t="str">
        <f>IF(B174="","","Jul")</f>
        <v/>
      </c>
      <c r="B174" t="str">
        <f t="shared" si="38"/>
        <v/>
      </c>
      <c r="C174" s="165" t="str">
        <f t="shared" ref="C174:C189" si="43">IF(B174="","",F173)</f>
        <v/>
      </c>
      <c r="D174" s="165" t="str">
        <f t="shared" si="39"/>
        <v/>
      </c>
      <c r="E174" s="165" t="str">
        <f t="shared" si="33"/>
        <v/>
      </c>
      <c r="F174" s="165" t="str">
        <f t="shared" ref="F174:F189" si="44">IF(B174="","",C174-E174)</f>
        <v/>
      </c>
      <c r="G174" s="165" t="str">
        <f t="shared" ref="G174:G189" si="45">IF(B174="","",G173+E174)</f>
        <v/>
      </c>
      <c r="H174" s="165" t="str">
        <f t="shared" si="34"/>
        <v/>
      </c>
    </row>
    <row r="175" spans="1:9">
      <c r="A175" s="173" t="str">
        <f>IF(B175="","","Aug")</f>
        <v/>
      </c>
      <c r="B175" t="str">
        <f t="shared" si="38"/>
        <v/>
      </c>
      <c r="C175" s="165" t="str">
        <f t="shared" si="43"/>
        <v/>
      </c>
      <c r="D175" s="165" t="str">
        <f t="shared" si="39"/>
        <v/>
      </c>
      <c r="E175" s="165" t="str">
        <f t="shared" si="33"/>
        <v/>
      </c>
      <c r="F175" s="165" t="str">
        <f t="shared" si="44"/>
        <v/>
      </c>
      <c r="G175" s="165" t="str">
        <f t="shared" si="45"/>
        <v/>
      </c>
      <c r="H175" s="165" t="str">
        <f t="shared" si="34"/>
        <v/>
      </c>
      <c r="I175" s="168" t="str">
        <f>IF(B168="","","Principal")</f>
        <v/>
      </c>
    </row>
    <row r="176" spans="1:9">
      <c r="A176" s="173" t="str">
        <f>IF(B176="","","Sep")</f>
        <v/>
      </c>
      <c r="B176" t="str">
        <f t="shared" si="38"/>
        <v/>
      </c>
      <c r="C176" s="165" t="str">
        <f t="shared" si="43"/>
        <v/>
      </c>
      <c r="D176" s="165" t="str">
        <f t="shared" si="39"/>
        <v/>
      </c>
      <c r="E176" s="165" t="str">
        <f t="shared" si="33"/>
        <v/>
      </c>
      <c r="F176" s="165" t="str">
        <f t="shared" si="44"/>
        <v/>
      </c>
      <c r="G176" s="165" t="str">
        <f t="shared" si="45"/>
        <v/>
      </c>
      <c r="H176" s="165" t="str">
        <f t="shared" si="34"/>
        <v/>
      </c>
      <c r="I176" s="169" t="str">
        <f>IF(B168="","",SUM(E168:E179))</f>
        <v/>
      </c>
    </row>
    <row r="177" spans="1:9">
      <c r="A177" s="173" t="str">
        <f>IF(B177="","","Oct")</f>
        <v/>
      </c>
      <c r="B177" t="str">
        <f t="shared" si="38"/>
        <v/>
      </c>
      <c r="C177" s="165" t="str">
        <f t="shared" si="43"/>
        <v/>
      </c>
      <c r="D177" s="165" t="str">
        <f t="shared" si="39"/>
        <v/>
      </c>
      <c r="E177" s="165" t="str">
        <f t="shared" si="33"/>
        <v/>
      </c>
      <c r="F177" s="165" t="str">
        <f t="shared" si="44"/>
        <v/>
      </c>
      <c r="G177" s="165" t="str">
        <f t="shared" si="45"/>
        <v/>
      </c>
      <c r="H177" s="165" t="str">
        <f t="shared" si="34"/>
        <v/>
      </c>
      <c r="I177" s="168" t="str">
        <f>IF(B168="","","Interest")</f>
        <v/>
      </c>
    </row>
    <row r="178" spans="1:9">
      <c r="A178" s="173" t="str">
        <f>IF(B178="","","Nov")</f>
        <v/>
      </c>
      <c r="B178" t="str">
        <f t="shared" si="38"/>
        <v/>
      </c>
      <c r="C178" s="165" t="str">
        <f t="shared" si="43"/>
        <v/>
      </c>
      <c r="D178" s="165" t="str">
        <f t="shared" si="39"/>
        <v/>
      </c>
      <c r="E178" s="165" t="str">
        <f t="shared" si="33"/>
        <v/>
      </c>
      <c r="F178" s="165" t="str">
        <f t="shared" si="44"/>
        <v/>
      </c>
      <c r="G178" s="165" t="str">
        <f t="shared" si="45"/>
        <v/>
      </c>
      <c r="H178" s="165" t="str">
        <f t="shared" si="34"/>
        <v/>
      </c>
      <c r="I178" s="169" t="str">
        <f>IF(B168="","",SUM(D168:D179))</f>
        <v/>
      </c>
    </row>
    <row r="179" spans="1:9">
      <c r="A179" s="174" t="str">
        <f>IF(B179="","","Dec")</f>
        <v/>
      </c>
      <c r="B179" s="170" t="str">
        <f t="shared" si="38"/>
        <v/>
      </c>
      <c r="C179" s="171" t="str">
        <f t="shared" si="43"/>
        <v/>
      </c>
      <c r="D179" s="171" t="str">
        <f t="shared" si="39"/>
        <v/>
      </c>
      <c r="E179" s="171" t="str">
        <f t="shared" si="33"/>
        <v/>
      </c>
      <c r="F179" s="171" t="str">
        <f t="shared" si="44"/>
        <v/>
      </c>
      <c r="G179" s="171" t="str">
        <f t="shared" si="45"/>
        <v/>
      </c>
      <c r="H179" s="171" t="str">
        <f t="shared" si="34"/>
        <v/>
      </c>
      <c r="I179" s="170" t="str">
        <f>IF(B168="","","End of year 14")</f>
        <v/>
      </c>
    </row>
    <row r="180" spans="1:9">
      <c r="A180" s="173" t="str">
        <f>IF(B180="","","Jan")</f>
        <v/>
      </c>
      <c r="B180" t="str">
        <f t="shared" si="38"/>
        <v/>
      </c>
      <c r="C180" s="165" t="str">
        <f t="shared" si="43"/>
        <v/>
      </c>
      <c r="D180" s="165" t="str">
        <f t="shared" si="39"/>
        <v/>
      </c>
      <c r="E180" s="165" t="str">
        <f t="shared" si="33"/>
        <v/>
      </c>
      <c r="F180" s="165" t="str">
        <f t="shared" si="44"/>
        <v/>
      </c>
      <c r="G180" s="165" t="str">
        <f t="shared" si="45"/>
        <v/>
      </c>
      <c r="H180" s="165" t="str">
        <f t="shared" si="34"/>
        <v/>
      </c>
    </row>
    <row r="181" spans="1:9">
      <c r="A181" s="173" t="str">
        <f>IF(B181="","","Feb")</f>
        <v/>
      </c>
      <c r="B181" t="str">
        <f t="shared" si="38"/>
        <v/>
      </c>
      <c r="C181" s="165" t="str">
        <f t="shared" si="43"/>
        <v/>
      </c>
      <c r="D181" s="165" t="str">
        <f t="shared" si="39"/>
        <v/>
      </c>
      <c r="E181" s="165" t="str">
        <f t="shared" si="33"/>
        <v/>
      </c>
      <c r="F181" s="165" t="str">
        <f t="shared" si="44"/>
        <v/>
      </c>
      <c r="G181" s="165" t="str">
        <f t="shared" si="45"/>
        <v/>
      </c>
      <c r="H181" s="165" t="str">
        <f t="shared" si="34"/>
        <v/>
      </c>
    </row>
    <row r="182" spans="1:9">
      <c r="A182" s="173" t="str">
        <f>IF(B182="","","Mar")</f>
        <v/>
      </c>
      <c r="B182" t="str">
        <f t="shared" si="38"/>
        <v/>
      </c>
      <c r="C182" s="165" t="str">
        <f t="shared" si="43"/>
        <v/>
      </c>
      <c r="D182" s="165" t="str">
        <f t="shared" si="39"/>
        <v/>
      </c>
      <c r="E182" s="165" t="str">
        <f t="shared" si="33"/>
        <v/>
      </c>
      <c r="F182" s="165" t="str">
        <f t="shared" si="44"/>
        <v/>
      </c>
      <c r="G182" s="165" t="str">
        <f t="shared" si="45"/>
        <v/>
      </c>
      <c r="H182" s="165" t="str">
        <f t="shared" si="34"/>
        <v/>
      </c>
    </row>
    <row r="183" spans="1:9">
      <c r="A183" s="173" t="str">
        <f>IF(B183="","","Apr")</f>
        <v/>
      </c>
      <c r="B183" t="str">
        <f t="shared" si="38"/>
        <v/>
      </c>
      <c r="C183" s="165" t="str">
        <f t="shared" si="43"/>
        <v/>
      </c>
      <c r="D183" s="165" t="str">
        <f t="shared" si="39"/>
        <v/>
      </c>
      <c r="E183" s="165" t="str">
        <f t="shared" si="33"/>
        <v/>
      </c>
      <c r="F183" s="165" t="str">
        <f t="shared" si="44"/>
        <v/>
      </c>
      <c r="G183" s="165" t="str">
        <f t="shared" si="45"/>
        <v/>
      </c>
      <c r="H183" s="165" t="str">
        <f t="shared" si="34"/>
        <v/>
      </c>
    </row>
    <row r="184" spans="1:9">
      <c r="A184" s="173" t="str">
        <f>IF(B184="","","May")</f>
        <v/>
      </c>
      <c r="B184" t="str">
        <f t="shared" si="38"/>
        <v/>
      </c>
      <c r="C184" s="165" t="str">
        <f t="shared" si="43"/>
        <v/>
      </c>
      <c r="D184" s="165" t="str">
        <f t="shared" si="39"/>
        <v/>
      </c>
      <c r="E184" s="165" t="str">
        <f t="shared" si="33"/>
        <v/>
      </c>
      <c r="F184" s="165" t="str">
        <f t="shared" si="44"/>
        <v/>
      </c>
      <c r="G184" s="165" t="str">
        <f t="shared" si="45"/>
        <v/>
      </c>
      <c r="H184" s="165" t="str">
        <f t="shared" si="34"/>
        <v/>
      </c>
    </row>
    <row r="185" spans="1:9">
      <c r="A185" s="173" t="str">
        <f>IF(B185="","","Jun")</f>
        <v/>
      </c>
      <c r="B185" t="str">
        <f t="shared" si="38"/>
        <v/>
      </c>
      <c r="C185" s="165" t="str">
        <f t="shared" si="43"/>
        <v/>
      </c>
      <c r="D185" s="165" t="str">
        <f t="shared" si="39"/>
        <v/>
      </c>
      <c r="E185" s="165" t="str">
        <f t="shared" si="33"/>
        <v/>
      </c>
      <c r="F185" s="165" t="str">
        <f t="shared" si="44"/>
        <v/>
      </c>
      <c r="G185" s="165" t="str">
        <f t="shared" si="45"/>
        <v/>
      </c>
      <c r="H185" s="165" t="str">
        <f t="shared" si="34"/>
        <v/>
      </c>
    </row>
    <row r="186" spans="1:9">
      <c r="A186" s="173" t="str">
        <f>IF(B186="","","Jul")</f>
        <v/>
      </c>
      <c r="B186" t="str">
        <f t="shared" si="38"/>
        <v/>
      </c>
      <c r="C186" s="165" t="str">
        <f t="shared" si="43"/>
        <v/>
      </c>
      <c r="D186" s="165" t="str">
        <f t="shared" si="39"/>
        <v/>
      </c>
      <c r="E186" s="165" t="str">
        <f t="shared" si="33"/>
        <v/>
      </c>
      <c r="F186" s="165" t="str">
        <f t="shared" si="44"/>
        <v/>
      </c>
      <c r="G186" s="165" t="str">
        <f t="shared" si="45"/>
        <v/>
      </c>
      <c r="H186" s="165" t="str">
        <f t="shared" si="34"/>
        <v/>
      </c>
    </row>
    <row r="187" spans="1:9">
      <c r="A187" s="173" t="str">
        <f>IF(B187="","","Aug")</f>
        <v/>
      </c>
      <c r="B187" t="str">
        <f t="shared" si="38"/>
        <v/>
      </c>
      <c r="C187" s="165" t="str">
        <f t="shared" si="43"/>
        <v/>
      </c>
      <c r="D187" s="165" t="str">
        <f t="shared" si="39"/>
        <v/>
      </c>
      <c r="E187" s="165" t="str">
        <f t="shared" si="33"/>
        <v/>
      </c>
      <c r="F187" s="165" t="str">
        <f t="shared" si="44"/>
        <v/>
      </c>
      <c r="G187" s="165" t="str">
        <f t="shared" si="45"/>
        <v/>
      </c>
      <c r="H187" s="165" t="str">
        <f t="shared" si="34"/>
        <v/>
      </c>
      <c r="I187" s="168" t="str">
        <f>IF(B180="","","Principal")</f>
        <v/>
      </c>
    </row>
    <row r="188" spans="1:9">
      <c r="A188" s="173" t="str">
        <f>IF(B188="","","Sep")</f>
        <v/>
      </c>
      <c r="B188" t="str">
        <f t="shared" si="38"/>
        <v/>
      </c>
      <c r="C188" s="165" t="str">
        <f t="shared" si="43"/>
        <v/>
      </c>
      <c r="D188" s="165" t="str">
        <f t="shared" si="39"/>
        <v/>
      </c>
      <c r="E188" s="165" t="str">
        <f t="shared" si="33"/>
        <v/>
      </c>
      <c r="F188" s="165" t="str">
        <f t="shared" si="44"/>
        <v/>
      </c>
      <c r="G188" s="165" t="str">
        <f t="shared" si="45"/>
        <v/>
      </c>
      <c r="H188" s="165" t="str">
        <f t="shared" si="34"/>
        <v/>
      </c>
      <c r="I188" s="169" t="str">
        <f>IF(B180="","",SUM(E180:E191))</f>
        <v/>
      </c>
    </row>
    <row r="189" spans="1:9">
      <c r="A189" s="173" t="str">
        <f>IF(B189="","","Oct")</f>
        <v/>
      </c>
      <c r="B189" t="str">
        <f t="shared" si="38"/>
        <v/>
      </c>
      <c r="C189" s="165" t="str">
        <f t="shared" si="43"/>
        <v/>
      </c>
      <c r="D189" s="165" t="str">
        <f t="shared" si="39"/>
        <v/>
      </c>
      <c r="E189" s="165" t="str">
        <f t="shared" si="33"/>
        <v/>
      </c>
      <c r="F189" s="165" t="str">
        <f t="shared" si="44"/>
        <v/>
      </c>
      <c r="G189" s="165" t="str">
        <f t="shared" si="45"/>
        <v/>
      </c>
      <c r="H189" s="165" t="str">
        <f t="shared" si="34"/>
        <v/>
      </c>
      <c r="I189" s="168" t="str">
        <f>IF(B180="","","Interest")</f>
        <v/>
      </c>
    </row>
    <row r="190" spans="1:9">
      <c r="A190" s="173" t="str">
        <f>IF(B190="","","Nov")</f>
        <v/>
      </c>
      <c r="B190" t="str">
        <f t="shared" si="38"/>
        <v/>
      </c>
      <c r="C190" s="165" t="str">
        <f t="shared" ref="C190:C205" si="46">IF(B190="","",F189)</f>
        <v/>
      </c>
      <c r="D190" s="165" t="str">
        <f t="shared" si="39"/>
        <v/>
      </c>
      <c r="E190" s="165" t="str">
        <f t="shared" si="33"/>
        <v/>
      </c>
      <c r="F190" s="165" t="str">
        <f t="shared" ref="F190:F205" si="47">IF(B190="","",C190-E190)</f>
        <v/>
      </c>
      <c r="G190" s="165" t="str">
        <f t="shared" ref="G190:G205" si="48">IF(B190="","",G189+E190)</f>
        <v/>
      </c>
      <c r="H190" s="165" t="str">
        <f t="shared" si="34"/>
        <v/>
      </c>
      <c r="I190" s="169" t="str">
        <f>IF(B180="","",SUM(D180:D191))</f>
        <v/>
      </c>
    </row>
    <row r="191" spans="1:9">
      <c r="A191" s="174" t="str">
        <f>IF(B191="","","Dec")</f>
        <v/>
      </c>
      <c r="B191" s="170" t="str">
        <f t="shared" si="38"/>
        <v/>
      </c>
      <c r="C191" s="171" t="str">
        <f t="shared" si="46"/>
        <v/>
      </c>
      <c r="D191" s="171" t="str">
        <f t="shared" si="39"/>
        <v/>
      </c>
      <c r="E191" s="171" t="str">
        <f t="shared" si="33"/>
        <v/>
      </c>
      <c r="F191" s="171" t="str">
        <f t="shared" si="47"/>
        <v/>
      </c>
      <c r="G191" s="171" t="str">
        <f t="shared" si="48"/>
        <v/>
      </c>
      <c r="H191" s="171" t="str">
        <f t="shared" si="34"/>
        <v/>
      </c>
      <c r="I191" s="170" t="str">
        <f>IF(B180="","","End of year 15")</f>
        <v/>
      </c>
    </row>
    <row r="192" spans="1:9">
      <c r="A192" s="173" t="str">
        <f>IF(B192="","","Jan")</f>
        <v/>
      </c>
      <c r="B192" t="str">
        <f t="shared" si="38"/>
        <v/>
      </c>
      <c r="C192" s="165" t="str">
        <f t="shared" si="46"/>
        <v/>
      </c>
      <c r="D192" s="165" t="str">
        <f t="shared" si="39"/>
        <v/>
      </c>
      <c r="E192" s="165" t="str">
        <f t="shared" si="33"/>
        <v/>
      </c>
      <c r="F192" s="165" t="str">
        <f t="shared" si="47"/>
        <v/>
      </c>
      <c r="G192" s="165" t="str">
        <f t="shared" si="48"/>
        <v/>
      </c>
      <c r="H192" s="165" t="str">
        <f t="shared" si="34"/>
        <v/>
      </c>
    </row>
    <row r="193" spans="1:9">
      <c r="A193" s="173" t="str">
        <f>IF(B193="","","Feb")</f>
        <v/>
      </c>
      <c r="B193" t="str">
        <f t="shared" si="38"/>
        <v/>
      </c>
      <c r="C193" s="165" t="str">
        <f t="shared" si="46"/>
        <v/>
      </c>
      <c r="D193" s="165" t="str">
        <f t="shared" si="39"/>
        <v/>
      </c>
      <c r="E193" s="165" t="str">
        <f t="shared" si="33"/>
        <v/>
      </c>
      <c r="F193" s="165" t="str">
        <f t="shared" si="47"/>
        <v/>
      </c>
      <c r="G193" s="165" t="str">
        <f t="shared" si="48"/>
        <v/>
      </c>
      <c r="H193" s="165" t="str">
        <f t="shared" si="34"/>
        <v/>
      </c>
    </row>
    <row r="194" spans="1:9">
      <c r="A194" s="173" t="str">
        <f>IF(B194="","","Mar")</f>
        <v/>
      </c>
      <c r="B194" t="str">
        <f t="shared" si="38"/>
        <v/>
      </c>
      <c r="C194" s="165" t="str">
        <f t="shared" si="46"/>
        <v/>
      </c>
      <c r="D194" s="165" t="str">
        <f t="shared" si="39"/>
        <v/>
      </c>
      <c r="E194" s="165" t="str">
        <f t="shared" si="33"/>
        <v/>
      </c>
      <c r="F194" s="165" t="str">
        <f t="shared" si="47"/>
        <v/>
      </c>
      <c r="G194" s="165" t="str">
        <f t="shared" si="48"/>
        <v/>
      </c>
      <c r="H194" s="165" t="str">
        <f t="shared" si="34"/>
        <v/>
      </c>
    </row>
    <row r="195" spans="1:9">
      <c r="A195" s="173" t="str">
        <f>IF(B195="","","Apr")</f>
        <v/>
      </c>
      <c r="B195" t="str">
        <f t="shared" si="38"/>
        <v/>
      </c>
      <c r="C195" s="165" t="str">
        <f t="shared" si="46"/>
        <v/>
      </c>
      <c r="D195" s="165" t="str">
        <f t="shared" si="39"/>
        <v/>
      </c>
      <c r="E195" s="165" t="str">
        <f t="shared" si="33"/>
        <v/>
      </c>
      <c r="F195" s="165" t="str">
        <f t="shared" si="47"/>
        <v/>
      </c>
      <c r="G195" s="165" t="str">
        <f t="shared" si="48"/>
        <v/>
      </c>
      <c r="H195" s="165" t="str">
        <f t="shared" si="34"/>
        <v/>
      </c>
    </row>
    <row r="196" spans="1:9">
      <c r="A196" s="173" t="str">
        <f>IF(B196="","","May")</f>
        <v/>
      </c>
      <c r="B196" t="str">
        <f t="shared" si="38"/>
        <v/>
      </c>
      <c r="C196" s="165" t="str">
        <f t="shared" si="46"/>
        <v/>
      </c>
      <c r="D196" s="165" t="str">
        <f t="shared" si="39"/>
        <v/>
      </c>
      <c r="E196" s="165" t="str">
        <f t="shared" si="33"/>
        <v/>
      </c>
      <c r="F196" s="165" t="str">
        <f t="shared" si="47"/>
        <v/>
      </c>
      <c r="G196" s="165" t="str">
        <f t="shared" si="48"/>
        <v/>
      </c>
      <c r="H196" s="165" t="str">
        <f t="shared" si="34"/>
        <v/>
      </c>
    </row>
    <row r="197" spans="1:9">
      <c r="A197" s="173" t="str">
        <f>IF(B197="","","Jun")</f>
        <v/>
      </c>
      <c r="B197" t="str">
        <f t="shared" si="38"/>
        <v/>
      </c>
      <c r="C197" s="165" t="str">
        <f t="shared" si="46"/>
        <v/>
      </c>
      <c r="D197" s="165" t="str">
        <f t="shared" si="39"/>
        <v/>
      </c>
      <c r="E197" s="165" t="str">
        <f t="shared" si="33"/>
        <v/>
      </c>
      <c r="F197" s="165" t="str">
        <f t="shared" si="47"/>
        <v/>
      </c>
      <c r="G197" s="165" t="str">
        <f t="shared" si="48"/>
        <v/>
      </c>
      <c r="H197" s="165" t="str">
        <f t="shared" si="34"/>
        <v/>
      </c>
    </row>
    <row r="198" spans="1:9">
      <c r="A198" s="173" t="str">
        <f>IF(B198="","","Jul")</f>
        <v/>
      </c>
      <c r="B198" t="str">
        <f t="shared" si="38"/>
        <v/>
      </c>
      <c r="C198" s="165" t="str">
        <f t="shared" si="46"/>
        <v/>
      </c>
      <c r="D198" s="165" t="str">
        <f t="shared" si="39"/>
        <v/>
      </c>
      <c r="E198" s="165" t="str">
        <f t="shared" si="33"/>
        <v/>
      </c>
      <c r="F198" s="165" t="str">
        <f t="shared" si="47"/>
        <v/>
      </c>
      <c r="G198" s="165" t="str">
        <f t="shared" si="48"/>
        <v/>
      </c>
      <c r="H198" s="165" t="str">
        <f t="shared" si="34"/>
        <v/>
      </c>
    </row>
    <row r="199" spans="1:9">
      <c r="A199" s="173" t="str">
        <f>IF(B199="","","Aug")</f>
        <v/>
      </c>
      <c r="B199" t="str">
        <f t="shared" si="38"/>
        <v/>
      </c>
      <c r="C199" s="165" t="str">
        <f t="shared" si="46"/>
        <v/>
      </c>
      <c r="D199" s="165" t="str">
        <f t="shared" si="39"/>
        <v/>
      </c>
      <c r="E199" s="165" t="str">
        <f t="shared" si="33"/>
        <v/>
      </c>
      <c r="F199" s="165" t="str">
        <f t="shared" si="47"/>
        <v/>
      </c>
      <c r="G199" s="165" t="str">
        <f t="shared" si="48"/>
        <v/>
      </c>
      <c r="H199" s="165" t="str">
        <f t="shared" si="34"/>
        <v/>
      </c>
      <c r="I199" s="168" t="str">
        <f>IF(B192="","","Principal")</f>
        <v/>
      </c>
    </row>
    <row r="200" spans="1:9">
      <c r="A200" s="173" t="str">
        <f>IF(B200="","","Sep")</f>
        <v/>
      </c>
      <c r="B200" t="str">
        <f t="shared" si="38"/>
        <v/>
      </c>
      <c r="C200" s="165" t="str">
        <f t="shared" si="46"/>
        <v/>
      </c>
      <c r="D200" s="165" t="str">
        <f t="shared" si="39"/>
        <v/>
      </c>
      <c r="E200" s="165" t="str">
        <f t="shared" si="33"/>
        <v/>
      </c>
      <c r="F200" s="165" t="str">
        <f t="shared" si="47"/>
        <v/>
      </c>
      <c r="G200" s="165" t="str">
        <f t="shared" si="48"/>
        <v/>
      </c>
      <c r="H200" s="165" t="str">
        <f t="shared" si="34"/>
        <v/>
      </c>
      <c r="I200" s="169" t="str">
        <f>IF(B192="","",SUM(E192:E203))</f>
        <v/>
      </c>
    </row>
    <row r="201" spans="1:9">
      <c r="A201" s="173" t="str">
        <f>IF(B201="","","Oct")</f>
        <v/>
      </c>
      <c r="B201" t="str">
        <f t="shared" si="38"/>
        <v/>
      </c>
      <c r="C201" s="165" t="str">
        <f t="shared" si="46"/>
        <v/>
      </c>
      <c r="D201" s="165" t="str">
        <f t="shared" si="39"/>
        <v/>
      </c>
      <c r="E201" s="165" t="str">
        <f t="shared" si="33"/>
        <v/>
      </c>
      <c r="F201" s="165" t="str">
        <f t="shared" si="47"/>
        <v/>
      </c>
      <c r="G201" s="165" t="str">
        <f t="shared" si="48"/>
        <v/>
      </c>
      <c r="H201" s="165" t="str">
        <f t="shared" si="34"/>
        <v/>
      </c>
      <c r="I201" s="168" t="str">
        <f>IF(B192="","","Interest")</f>
        <v/>
      </c>
    </row>
    <row r="202" spans="1:9">
      <c r="A202" s="173" t="str">
        <f>IF(B202="","","Nov")</f>
        <v/>
      </c>
      <c r="B202" t="str">
        <f t="shared" si="38"/>
        <v/>
      </c>
      <c r="C202" s="165" t="str">
        <f t="shared" si="46"/>
        <v/>
      </c>
      <c r="D202" s="165" t="str">
        <f t="shared" si="39"/>
        <v/>
      </c>
      <c r="E202" s="165" t="str">
        <f t="shared" si="33"/>
        <v/>
      </c>
      <c r="F202" s="165" t="str">
        <f t="shared" si="47"/>
        <v/>
      </c>
      <c r="G202" s="165" t="str">
        <f t="shared" si="48"/>
        <v/>
      </c>
      <c r="H202" s="165" t="str">
        <f t="shared" si="34"/>
        <v/>
      </c>
      <c r="I202" s="169" t="str">
        <f>IF(B192="","",SUM(D192:D203))</f>
        <v/>
      </c>
    </row>
    <row r="203" spans="1:9">
      <c r="A203" s="174" t="str">
        <f>IF(B203="","","Dec")</f>
        <v/>
      </c>
      <c r="B203" s="170" t="str">
        <f t="shared" si="38"/>
        <v/>
      </c>
      <c r="C203" s="171" t="str">
        <f t="shared" si="46"/>
        <v/>
      </c>
      <c r="D203" s="171" t="str">
        <f t="shared" si="39"/>
        <v/>
      </c>
      <c r="E203" s="171" t="str">
        <f t="shared" si="33"/>
        <v/>
      </c>
      <c r="F203" s="171" t="str">
        <f t="shared" si="47"/>
        <v/>
      </c>
      <c r="G203" s="171" t="str">
        <f t="shared" si="48"/>
        <v/>
      </c>
      <c r="H203" s="171" t="str">
        <f t="shared" si="34"/>
        <v/>
      </c>
      <c r="I203" s="170" t="str">
        <f>IF(B192="","","End of year 16")</f>
        <v/>
      </c>
    </row>
    <row r="204" spans="1:9">
      <c r="A204" s="173" t="str">
        <f>IF(B204="","","Jan")</f>
        <v/>
      </c>
      <c r="B204" t="str">
        <f t="shared" si="38"/>
        <v/>
      </c>
      <c r="C204" s="165" t="str">
        <f t="shared" si="46"/>
        <v/>
      </c>
      <c r="D204" s="165" t="str">
        <f t="shared" si="39"/>
        <v/>
      </c>
      <c r="E204" s="165" t="str">
        <f t="shared" si="33"/>
        <v/>
      </c>
      <c r="F204" s="165" t="str">
        <f t="shared" si="47"/>
        <v/>
      </c>
      <c r="G204" s="165" t="str">
        <f t="shared" si="48"/>
        <v/>
      </c>
      <c r="H204" s="165" t="str">
        <f t="shared" si="34"/>
        <v/>
      </c>
    </row>
    <row r="205" spans="1:9">
      <c r="A205" s="173" t="str">
        <f>IF(B205="","","Feb")</f>
        <v/>
      </c>
      <c r="B205" t="str">
        <f t="shared" si="38"/>
        <v/>
      </c>
      <c r="C205" s="165" t="str">
        <f t="shared" si="46"/>
        <v/>
      </c>
      <c r="D205" s="165" t="str">
        <f t="shared" si="39"/>
        <v/>
      </c>
      <c r="E205" s="165" t="str">
        <f t="shared" ref="E205:E268" si="49">IF(B205="","",IF(C205+D205&lt;($G$3+$C$7),(C205+D205)-D205,($G$3+$C$7)-D205))</f>
        <v/>
      </c>
      <c r="F205" s="165" t="str">
        <f t="shared" si="47"/>
        <v/>
      </c>
      <c r="G205" s="165" t="str">
        <f t="shared" si="48"/>
        <v/>
      </c>
      <c r="H205" s="165" t="str">
        <f t="shared" ref="H205:H268" si="50">IF(B205="","",H204+D205)</f>
        <v/>
      </c>
    </row>
    <row r="206" spans="1:9">
      <c r="A206" s="173" t="str">
        <f>IF(B206="","","Mar")</f>
        <v/>
      </c>
      <c r="B206" t="str">
        <f t="shared" si="38"/>
        <v/>
      </c>
      <c r="C206" s="165" t="str">
        <f t="shared" ref="C206:C221" si="51">IF(B206="","",F205)</f>
        <v/>
      </c>
      <c r="D206" s="165" t="str">
        <f t="shared" si="39"/>
        <v/>
      </c>
      <c r="E206" s="165" t="str">
        <f t="shared" si="49"/>
        <v/>
      </c>
      <c r="F206" s="165" t="str">
        <f t="shared" ref="F206:F221" si="52">IF(B206="","",C206-E206)</f>
        <v/>
      </c>
      <c r="G206" s="165" t="str">
        <f t="shared" ref="G206:G221" si="53">IF(B206="","",G205+E206)</f>
        <v/>
      </c>
      <c r="H206" s="165" t="str">
        <f t="shared" si="50"/>
        <v/>
      </c>
    </row>
    <row r="207" spans="1:9">
      <c r="A207" s="173" t="str">
        <f>IF(B207="","","Apr")</f>
        <v/>
      </c>
      <c r="B207" t="str">
        <f t="shared" si="38"/>
        <v/>
      </c>
      <c r="C207" s="165" t="str">
        <f t="shared" si="51"/>
        <v/>
      </c>
      <c r="D207" s="165" t="str">
        <f t="shared" si="39"/>
        <v/>
      </c>
      <c r="E207" s="165" t="str">
        <f t="shared" si="49"/>
        <v/>
      </c>
      <c r="F207" s="165" t="str">
        <f t="shared" si="52"/>
        <v/>
      </c>
      <c r="G207" s="165" t="str">
        <f t="shared" si="53"/>
        <v/>
      </c>
      <c r="H207" s="165" t="str">
        <f t="shared" si="50"/>
        <v/>
      </c>
    </row>
    <row r="208" spans="1:9">
      <c r="A208" s="173" t="str">
        <f>IF(B208="","","May")</f>
        <v/>
      </c>
      <c r="B208" t="str">
        <f t="shared" si="38"/>
        <v/>
      </c>
      <c r="C208" s="165" t="str">
        <f t="shared" si="51"/>
        <v/>
      </c>
      <c r="D208" s="165" t="str">
        <f t="shared" si="39"/>
        <v/>
      </c>
      <c r="E208" s="165" t="str">
        <f t="shared" si="49"/>
        <v/>
      </c>
      <c r="F208" s="165" t="str">
        <f t="shared" si="52"/>
        <v/>
      </c>
      <c r="G208" s="165" t="str">
        <f t="shared" si="53"/>
        <v/>
      </c>
      <c r="H208" s="165" t="str">
        <f t="shared" si="50"/>
        <v/>
      </c>
    </row>
    <row r="209" spans="1:9">
      <c r="A209" s="173" t="str">
        <f>IF(B209="","","Jun")</f>
        <v/>
      </c>
      <c r="B209" t="str">
        <f t="shared" si="38"/>
        <v/>
      </c>
      <c r="C209" s="165" t="str">
        <f t="shared" si="51"/>
        <v/>
      </c>
      <c r="D209" s="165" t="str">
        <f t="shared" si="39"/>
        <v/>
      </c>
      <c r="E209" s="165" t="str">
        <f t="shared" si="49"/>
        <v/>
      </c>
      <c r="F209" s="165" t="str">
        <f t="shared" si="52"/>
        <v/>
      </c>
      <c r="G209" s="165" t="str">
        <f t="shared" si="53"/>
        <v/>
      </c>
      <c r="H209" s="165" t="str">
        <f t="shared" si="50"/>
        <v/>
      </c>
    </row>
    <row r="210" spans="1:9">
      <c r="A210" s="173" t="str">
        <f>IF(B210="","","Jul")</f>
        <v/>
      </c>
      <c r="B210" t="str">
        <f t="shared" si="38"/>
        <v/>
      </c>
      <c r="C210" s="165" t="str">
        <f t="shared" si="51"/>
        <v/>
      </c>
      <c r="D210" s="165" t="str">
        <f t="shared" si="39"/>
        <v/>
      </c>
      <c r="E210" s="165" t="str">
        <f t="shared" si="49"/>
        <v/>
      </c>
      <c r="F210" s="165" t="str">
        <f t="shared" si="52"/>
        <v/>
      </c>
      <c r="G210" s="165" t="str">
        <f t="shared" si="53"/>
        <v/>
      </c>
      <c r="H210" s="165" t="str">
        <f t="shared" si="50"/>
        <v/>
      </c>
    </row>
    <row r="211" spans="1:9">
      <c r="A211" s="173" t="str">
        <f>IF(B211="","","Aug")</f>
        <v/>
      </c>
      <c r="B211" t="str">
        <f t="shared" si="38"/>
        <v/>
      </c>
      <c r="C211" s="165" t="str">
        <f t="shared" si="51"/>
        <v/>
      </c>
      <c r="D211" s="165" t="str">
        <f t="shared" si="39"/>
        <v/>
      </c>
      <c r="E211" s="165" t="str">
        <f t="shared" si="49"/>
        <v/>
      </c>
      <c r="F211" s="165" t="str">
        <f t="shared" si="52"/>
        <v/>
      </c>
      <c r="G211" s="165" t="str">
        <f t="shared" si="53"/>
        <v/>
      </c>
      <c r="H211" s="165" t="str">
        <f t="shared" si="50"/>
        <v/>
      </c>
      <c r="I211" s="168" t="str">
        <f>IF(B204="","","Principal")</f>
        <v/>
      </c>
    </row>
    <row r="212" spans="1:9">
      <c r="A212" s="173" t="str">
        <f>IF(B212="","","Sep")</f>
        <v/>
      </c>
      <c r="B212" t="str">
        <f t="shared" si="38"/>
        <v/>
      </c>
      <c r="C212" s="165" t="str">
        <f t="shared" si="51"/>
        <v/>
      </c>
      <c r="D212" s="165" t="str">
        <f t="shared" si="39"/>
        <v/>
      </c>
      <c r="E212" s="165" t="str">
        <f t="shared" si="49"/>
        <v/>
      </c>
      <c r="F212" s="165" t="str">
        <f t="shared" si="52"/>
        <v/>
      </c>
      <c r="G212" s="165" t="str">
        <f t="shared" si="53"/>
        <v/>
      </c>
      <c r="H212" s="165" t="str">
        <f t="shared" si="50"/>
        <v/>
      </c>
      <c r="I212" s="169" t="str">
        <f>IF(B204="","",SUM(E204:E215))</f>
        <v/>
      </c>
    </row>
    <row r="213" spans="1:9">
      <c r="A213" s="173" t="str">
        <f>IF(B213="","","Oct")</f>
        <v/>
      </c>
      <c r="B213" t="str">
        <f t="shared" si="38"/>
        <v/>
      </c>
      <c r="C213" s="165" t="str">
        <f t="shared" si="51"/>
        <v/>
      </c>
      <c r="D213" s="165" t="str">
        <f t="shared" si="39"/>
        <v/>
      </c>
      <c r="E213" s="165" t="str">
        <f t="shared" si="49"/>
        <v/>
      </c>
      <c r="F213" s="165" t="str">
        <f t="shared" si="52"/>
        <v/>
      </c>
      <c r="G213" s="165" t="str">
        <f t="shared" si="53"/>
        <v/>
      </c>
      <c r="H213" s="165" t="str">
        <f t="shared" si="50"/>
        <v/>
      </c>
      <c r="I213" s="168" t="str">
        <f>IF(B204="","","Interest")</f>
        <v/>
      </c>
    </row>
    <row r="214" spans="1:9">
      <c r="A214" s="173" t="str">
        <f>IF(B214="","","Nov")</f>
        <v/>
      </c>
      <c r="B214" t="str">
        <f t="shared" si="38"/>
        <v/>
      </c>
      <c r="C214" s="165" t="str">
        <f t="shared" si="51"/>
        <v/>
      </c>
      <c r="D214" s="165" t="str">
        <f t="shared" si="39"/>
        <v/>
      </c>
      <c r="E214" s="165" t="str">
        <f t="shared" si="49"/>
        <v/>
      </c>
      <c r="F214" s="165" t="str">
        <f t="shared" si="52"/>
        <v/>
      </c>
      <c r="G214" s="165" t="str">
        <f t="shared" si="53"/>
        <v/>
      </c>
      <c r="H214" s="165" t="str">
        <f t="shared" si="50"/>
        <v/>
      </c>
      <c r="I214" s="169" t="str">
        <f>IF(B204="","",SUM(D204:D215))</f>
        <v/>
      </c>
    </row>
    <row r="215" spans="1:9">
      <c r="A215" s="174" t="str">
        <f>IF(B215="","","Dec")</f>
        <v/>
      </c>
      <c r="B215" s="170" t="str">
        <f t="shared" si="38"/>
        <v/>
      </c>
      <c r="C215" s="171" t="str">
        <f t="shared" si="51"/>
        <v/>
      </c>
      <c r="D215" s="171" t="str">
        <f t="shared" si="39"/>
        <v/>
      </c>
      <c r="E215" s="171" t="str">
        <f t="shared" si="49"/>
        <v/>
      </c>
      <c r="F215" s="171" t="str">
        <f t="shared" si="52"/>
        <v/>
      </c>
      <c r="G215" s="171" t="str">
        <f t="shared" si="53"/>
        <v/>
      </c>
      <c r="H215" s="171" t="str">
        <f t="shared" si="50"/>
        <v/>
      </c>
      <c r="I215" s="170" t="str">
        <f>IF(B204="","","End of year 17")</f>
        <v/>
      </c>
    </row>
    <row r="216" spans="1:9">
      <c r="A216" s="173" t="str">
        <f>IF(B216="","","Jan")</f>
        <v/>
      </c>
      <c r="B216" t="str">
        <f t="shared" si="38"/>
        <v/>
      </c>
      <c r="C216" s="165" t="str">
        <f t="shared" si="51"/>
        <v/>
      </c>
      <c r="D216" s="165" t="str">
        <f t="shared" si="39"/>
        <v/>
      </c>
      <c r="E216" s="165" t="str">
        <f t="shared" si="49"/>
        <v/>
      </c>
      <c r="F216" s="165" t="str">
        <f t="shared" si="52"/>
        <v/>
      </c>
      <c r="G216" s="165" t="str">
        <f t="shared" si="53"/>
        <v/>
      </c>
      <c r="H216" s="165" t="str">
        <f t="shared" si="50"/>
        <v/>
      </c>
    </row>
    <row r="217" spans="1:9">
      <c r="A217" s="173" t="str">
        <f>IF(B217="","","Feb")</f>
        <v/>
      </c>
      <c r="B217" t="str">
        <f t="shared" ref="B217:B280" si="54">IF(B216=ABS($C$5),"",IF(B216="","",IF(G216&gt;=$C$3,"",B216+1)))</f>
        <v/>
      </c>
      <c r="C217" s="165" t="str">
        <f t="shared" si="51"/>
        <v/>
      </c>
      <c r="D217" s="165" t="str">
        <f t="shared" si="39"/>
        <v/>
      </c>
      <c r="E217" s="165" t="str">
        <f t="shared" si="49"/>
        <v/>
      </c>
      <c r="F217" s="165" t="str">
        <f t="shared" si="52"/>
        <v/>
      </c>
      <c r="G217" s="165" t="str">
        <f t="shared" si="53"/>
        <v/>
      </c>
      <c r="H217" s="165" t="str">
        <f t="shared" si="50"/>
        <v/>
      </c>
    </row>
    <row r="218" spans="1:9">
      <c r="A218" s="173" t="str">
        <f>IF(B218="","","Mar")</f>
        <v/>
      </c>
      <c r="B218" t="str">
        <f t="shared" si="54"/>
        <v/>
      </c>
      <c r="C218" s="165" t="str">
        <f t="shared" si="51"/>
        <v/>
      </c>
      <c r="D218" s="165" t="str">
        <f t="shared" ref="D218:D281" si="55">IF(B218="","",C218*(($C$4/100)/12))</f>
        <v/>
      </c>
      <c r="E218" s="165" t="str">
        <f t="shared" si="49"/>
        <v/>
      </c>
      <c r="F218" s="165" t="str">
        <f t="shared" si="52"/>
        <v/>
      </c>
      <c r="G218" s="165" t="str">
        <f t="shared" si="53"/>
        <v/>
      </c>
      <c r="H218" s="165" t="str">
        <f t="shared" si="50"/>
        <v/>
      </c>
    </row>
    <row r="219" spans="1:9">
      <c r="A219" s="173" t="str">
        <f>IF(B219="","","Apr")</f>
        <v/>
      </c>
      <c r="B219" t="str">
        <f t="shared" si="54"/>
        <v/>
      </c>
      <c r="C219" s="165" t="str">
        <f t="shared" si="51"/>
        <v/>
      </c>
      <c r="D219" s="165" t="str">
        <f t="shared" si="55"/>
        <v/>
      </c>
      <c r="E219" s="165" t="str">
        <f t="shared" si="49"/>
        <v/>
      </c>
      <c r="F219" s="165" t="str">
        <f t="shared" si="52"/>
        <v/>
      </c>
      <c r="G219" s="165" t="str">
        <f t="shared" si="53"/>
        <v/>
      </c>
      <c r="H219" s="165" t="str">
        <f t="shared" si="50"/>
        <v/>
      </c>
    </row>
    <row r="220" spans="1:9">
      <c r="A220" s="173" t="str">
        <f>IF(B220="","","May")</f>
        <v/>
      </c>
      <c r="B220" t="str">
        <f t="shared" si="54"/>
        <v/>
      </c>
      <c r="C220" s="165" t="str">
        <f t="shared" si="51"/>
        <v/>
      </c>
      <c r="D220" s="165" t="str">
        <f t="shared" si="55"/>
        <v/>
      </c>
      <c r="E220" s="165" t="str">
        <f t="shared" si="49"/>
        <v/>
      </c>
      <c r="F220" s="165" t="str">
        <f t="shared" si="52"/>
        <v/>
      </c>
      <c r="G220" s="165" t="str">
        <f t="shared" si="53"/>
        <v/>
      </c>
      <c r="H220" s="165" t="str">
        <f t="shared" si="50"/>
        <v/>
      </c>
    </row>
    <row r="221" spans="1:9">
      <c r="A221" s="173" t="str">
        <f>IF(B221="","","Jun")</f>
        <v/>
      </c>
      <c r="B221" t="str">
        <f t="shared" si="54"/>
        <v/>
      </c>
      <c r="C221" s="165" t="str">
        <f t="shared" si="51"/>
        <v/>
      </c>
      <c r="D221" s="165" t="str">
        <f t="shared" si="55"/>
        <v/>
      </c>
      <c r="E221" s="165" t="str">
        <f t="shared" si="49"/>
        <v/>
      </c>
      <c r="F221" s="165" t="str">
        <f t="shared" si="52"/>
        <v/>
      </c>
      <c r="G221" s="165" t="str">
        <f t="shared" si="53"/>
        <v/>
      </c>
      <c r="H221" s="165" t="str">
        <f t="shared" si="50"/>
        <v/>
      </c>
    </row>
    <row r="222" spans="1:9">
      <c r="A222" s="173" t="str">
        <f>IF(B222="","","Jul")</f>
        <v/>
      </c>
      <c r="B222" t="str">
        <f t="shared" si="54"/>
        <v/>
      </c>
      <c r="C222" s="165" t="str">
        <f t="shared" ref="C222:C237" si="56">IF(B222="","",F221)</f>
        <v/>
      </c>
      <c r="D222" s="165" t="str">
        <f t="shared" si="55"/>
        <v/>
      </c>
      <c r="E222" s="165" t="str">
        <f t="shared" si="49"/>
        <v/>
      </c>
      <c r="F222" s="165" t="str">
        <f t="shared" ref="F222:F237" si="57">IF(B222="","",C222-E222)</f>
        <v/>
      </c>
      <c r="G222" s="165" t="str">
        <f t="shared" ref="G222:G237" si="58">IF(B222="","",G221+E222)</f>
        <v/>
      </c>
      <c r="H222" s="165" t="str">
        <f t="shared" si="50"/>
        <v/>
      </c>
    </row>
    <row r="223" spans="1:9">
      <c r="A223" s="173" t="str">
        <f>IF(B223="","","Aug")</f>
        <v/>
      </c>
      <c r="B223" t="str">
        <f t="shared" si="54"/>
        <v/>
      </c>
      <c r="C223" s="165" t="str">
        <f t="shared" si="56"/>
        <v/>
      </c>
      <c r="D223" s="165" t="str">
        <f t="shared" si="55"/>
        <v/>
      </c>
      <c r="E223" s="165" t="str">
        <f t="shared" si="49"/>
        <v/>
      </c>
      <c r="F223" s="165" t="str">
        <f t="shared" si="57"/>
        <v/>
      </c>
      <c r="G223" s="165" t="str">
        <f t="shared" si="58"/>
        <v/>
      </c>
      <c r="H223" s="165" t="str">
        <f t="shared" si="50"/>
        <v/>
      </c>
      <c r="I223" s="168" t="str">
        <f>IF(B216="","","Principal")</f>
        <v/>
      </c>
    </row>
    <row r="224" spans="1:9">
      <c r="A224" s="173" t="str">
        <f>IF(B224="","","Sep")</f>
        <v/>
      </c>
      <c r="B224" t="str">
        <f t="shared" si="54"/>
        <v/>
      </c>
      <c r="C224" s="165" t="str">
        <f t="shared" si="56"/>
        <v/>
      </c>
      <c r="D224" s="165" t="str">
        <f t="shared" si="55"/>
        <v/>
      </c>
      <c r="E224" s="165" t="str">
        <f t="shared" si="49"/>
        <v/>
      </c>
      <c r="F224" s="165" t="str">
        <f t="shared" si="57"/>
        <v/>
      </c>
      <c r="G224" s="165" t="str">
        <f t="shared" si="58"/>
        <v/>
      </c>
      <c r="H224" s="165" t="str">
        <f t="shared" si="50"/>
        <v/>
      </c>
      <c r="I224" s="169" t="str">
        <f>IF(B216="","",SUM(E216:E227))</f>
        <v/>
      </c>
    </row>
    <row r="225" spans="1:9">
      <c r="A225" s="173" t="str">
        <f>IF(B225="","","Oct")</f>
        <v/>
      </c>
      <c r="B225" t="str">
        <f t="shared" si="54"/>
        <v/>
      </c>
      <c r="C225" s="165" t="str">
        <f t="shared" si="56"/>
        <v/>
      </c>
      <c r="D225" s="165" t="str">
        <f t="shared" si="55"/>
        <v/>
      </c>
      <c r="E225" s="165" t="str">
        <f t="shared" si="49"/>
        <v/>
      </c>
      <c r="F225" s="165" t="str">
        <f t="shared" si="57"/>
        <v/>
      </c>
      <c r="G225" s="165" t="str">
        <f t="shared" si="58"/>
        <v/>
      </c>
      <c r="H225" s="165" t="str">
        <f t="shared" si="50"/>
        <v/>
      </c>
      <c r="I225" s="168" t="str">
        <f>IF(B216="","","Interest")</f>
        <v/>
      </c>
    </row>
    <row r="226" spans="1:9">
      <c r="A226" s="173" t="str">
        <f>IF(B226="","","Nov")</f>
        <v/>
      </c>
      <c r="B226" t="str">
        <f t="shared" si="54"/>
        <v/>
      </c>
      <c r="C226" s="165" t="str">
        <f t="shared" si="56"/>
        <v/>
      </c>
      <c r="D226" s="165" t="str">
        <f t="shared" si="55"/>
        <v/>
      </c>
      <c r="E226" s="165" t="str">
        <f t="shared" si="49"/>
        <v/>
      </c>
      <c r="F226" s="165" t="str">
        <f t="shared" si="57"/>
        <v/>
      </c>
      <c r="G226" s="165" t="str">
        <f t="shared" si="58"/>
        <v/>
      </c>
      <c r="H226" s="165" t="str">
        <f t="shared" si="50"/>
        <v/>
      </c>
      <c r="I226" s="169" t="str">
        <f>IF(B216="","",SUM(D216:D227))</f>
        <v/>
      </c>
    </row>
    <row r="227" spans="1:9">
      <c r="A227" s="174" t="str">
        <f>IF(B227="","","Dec")</f>
        <v/>
      </c>
      <c r="B227" s="170" t="str">
        <f t="shared" si="54"/>
        <v/>
      </c>
      <c r="C227" s="171" t="str">
        <f t="shared" si="56"/>
        <v/>
      </c>
      <c r="D227" s="171" t="str">
        <f t="shared" si="55"/>
        <v/>
      </c>
      <c r="E227" s="171" t="str">
        <f t="shared" si="49"/>
        <v/>
      </c>
      <c r="F227" s="171" t="str">
        <f t="shared" si="57"/>
        <v/>
      </c>
      <c r="G227" s="171" t="str">
        <f t="shared" si="58"/>
        <v/>
      </c>
      <c r="H227" s="171" t="str">
        <f t="shared" si="50"/>
        <v/>
      </c>
      <c r="I227" s="170" t="str">
        <f>IF(B216="","","End of year 18")</f>
        <v/>
      </c>
    </row>
    <row r="228" spans="1:9">
      <c r="A228" s="173" t="str">
        <f>IF(B228="","","Jan")</f>
        <v/>
      </c>
      <c r="B228" t="str">
        <f t="shared" si="54"/>
        <v/>
      </c>
      <c r="C228" s="165" t="str">
        <f t="shared" si="56"/>
        <v/>
      </c>
      <c r="D228" s="165" t="str">
        <f t="shared" si="55"/>
        <v/>
      </c>
      <c r="E228" s="165" t="str">
        <f t="shared" si="49"/>
        <v/>
      </c>
      <c r="F228" s="165" t="str">
        <f t="shared" si="57"/>
        <v/>
      </c>
      <c r="G228" s="165" t="str">
        <f t="shared" si="58"/>
        <v/>
      </c>
      <c r="H228" s="165" t="str">
        <f t="shared" si="50"/>
        <v/>
      </c>
    </row>
    <row r="229" spans="1:9">
      <c r="A229" s="173" t="str">
        <f>IF(B229="","","Feb")</f>
        <v/>
      </c>
      <c r="B229" t="str">
        <f t="shared" si="54"/>
        <v/>
      </c>
      <c r="C229" s="165" t="str">
        <f t="shared" si="56"/>
        <v/>
      </c>
      <c r="D229" s="165" t="str">
        <f t="shared" si="55"/>
        <v/>
      </c>
      <c r="E229" s="165" t="str">
        <f t="shared" si="49"/>
        <v/>
      </c>
      <c r="F229" s="165" t="str">
        <f t="shared" si="57"/>
        <v/>
      </c>
      <c r="G229" s="165" t="str">
        <f t="shared" si="58"/>
        <v/>
      </c>
      <c r="H229" s="165" t="str">
        <f t="shared" si="50"/>
        <v/>
      </c>
    </row>
    <row r="230" spans="1:9">
      <c r="A230" s="173" t="str">
        <f>IF(B230="","","Mar")</f>
        <v/>
      </c>
      <c r="B230" t="str">
        <f t="shared" si="54"/>
        <v/>
      </c>
      <c r="C230" s="165" t="str">
        <f t="shared" si="56"/>
        <v/>
      </c>
      <c r="D230" s="165" t="str">
        <f t="shared" si="55"/>
        <v/>
      </c>
      <c r="E230" s="165" t="str">
        <f t="shared" si="49"/>
        <v/>
      </c>
      <c r="F230" s="165" t="str">
        <f t="shared" si="57"/>
        <v/>
      </c>
      <c r="G230" s="165" t="str">
        <f t="shared" si="58"/>
        <v/>
      </c>
      <c r="H230" s="165" t="str">
        <f t="shared" si="50"/>
        <v/>
      </c>
    </row>
    <row r="231" spans="1:9">
      <c r="A231" s="173" t="str">
        <f>IF(B231="","","Apr")</f>
        <v/>
      </c>
      <c r="B231" t="str">
        <f t="shared" si="54"/>
        <v/>
      </c>
      <c r="C231" s="165" t="str">
        <f t="shared" si="56"/>
        <v/>
      </c>
      <c r="D231" s="165" t="str">
        <f t="shared" si="55"/>
        <v/>
      </c>
      <c r="E231" s="165" t="str">
        <f t="shared" si="49"/>
        <v/>
      </c>
      <c r="F231" s="165" t="str">
        <f t="shared" si="57"/>
        <v/>
      </c>
      <c r="G231" s="165" t="str">
        <f t="shared" si="58"/>
        <v/>
      </c>
      <c r="H231" s="165" t="str">
        <f t="shared" si="50"/>
        <v/>
      </c>
    </row>
    <row r="232" spans="1:9">
      <c r="A232" s="173" t="str">
        <f>IF(B232="","","May")</f>
        <v/>
      </c>
      <c r="B232" t="str">
        <f t="shared" si="54"/>
        <v/>
      </c>
      <c r="C232" s="165" t="str">
        <f t="shared" si="56"/>
        <v/>
      </c>
      <c r="D232" s="165" t="str">
        <f t="shared" si="55"/>
        <v/>
      </c>
      <c r="E232" s="165" t="str">
        <f t="shared" si="49"/>
        <v/>
      </c>
      <c r="F232" s="165" t="str">
        <f t="shared" si="57"/>
        <v/>
      </c>
      <c r="G232" s="165" t="str">
        <f t="shared" si="58"/>
        <v/>
      </c>
      <c r="H232" s="165" t="str">
        <f t="shared" si="50"/>
        <v/>
      </c>
    </row>
    <row r="233" spans="1:9">
      <c r="A233" s="173" t="str">
        <f>IF(B233="","","Jun")</f>
        <v/>
      </c>
      <c r="B233" t="str">
        <f t="shared" si="54"/>
        <v/>
      </c>
      <c r="C233" s="165" t="str">
        <f t="shared" si="56"/>
        <v/>
      </c>
      <c r="D233" s="165" t="str">
        <f t="shared" si="55"/>
        <v/>
      </c>
      <c r="E233" s="165" t="str">
        <f t="shared" si="49"/>
        <v/>
      </c>
      <c r="F233" s="165" t="str">
        <f t="shared" si="57"/>
        <v/>
      </c>
      <c r="G233" s="165" t="str">
        <f t="shared" si="58"/>
        <v/>
      </c>
      <c r="H233" s="165" t="str">
        <f t="shared" si="50"/>
        <v/>
      </c>
    </row>
    <row r="234" spans="1:9">
      <c r="A234" s="173" t="str">
        <f>IF(B234="","","Jul")</f>
        <v/>
      </c>
      <c r="B234" t="str">
        <f t="shared" si="54"/>
        <v/>
      </c>
      <c r="C234" s="165" t="str">
        <f t="shared" si="56"/>
        <v/>
      </c>
      <c r="D234" s="165" t="str">
        <f t="shared" si="55"/>
        <v/>
      </c>
      <c r="E234" s="165" t="str">
        <f t="shared" si="49"/>
        <v/>
      </c>
      <c r="F234" s="165" t="str">
        <f t="shared" si="57"/>
        <v/>
      </c>
      <c r="G234" s="165" t="str">
        <f t="shared" si="58"/>
        <v/>
      </c>
      <c r="H234" s="165" t="str">
        <f t="shared" si="50"/>
        <v/>
      </c>
    </row>
    <row r="235" spans="1:9">
      <c r="A235" s="173" t="str">
        <f>IF(B235="","","Aug")</f>
        <v/>
      </c>
      <c r="B235" t="str">
        <f t="shared" si="54"/>
        <v/>
      </c>
      <c r="C235" s="165" t="str">
        <f t="shared" si="56"/>
        <v/>
      </c>
      <c r="D235" s="165" t="str">
        <f t="shared" si="55"/>
        <v/>
      </c>
      <c r="E235" s="165" t="str">
        <f t="shared" si="49"/>
        <v/>
      </c>
      <c r="F235" s="165" t="str">
        <f t="shared" si="57"/>
        <v/>
      </c>
      <c r="G235" s="165" t="str">
        <f t="shared" si="58"/>
        <v/>
      </c>
      <c r="H235" s="165" t="str">
        <f t="shared" si="50"/>
        <v/>
      </c>
      <c r="I235" s="168" t="str">
        <f>IF(B228="","","Principal")</f>
        <v/>
      </c>
    </row>
    <row r="236" spans="1:9">
      <c r="A236" s="173" t="str">
        <f>IF(B236="","","Sep")</f>
        <v/>
      </c>
      <c r="B236" t="str">
        <f t="shared" si="54"/>
        <v/>
      </c>
      <c r="C236" s="165" t="str">
        <f t="shared" si="56"/>
        <v/>
      </c>
      <c r="D236" s="165" t="str">
        <f t="shared" si="55"/>
        <v/>
      </c>
      <c r="E236" s="165" t="str">
        <f t="shared" si="49"/>
        <v/>
      </c>
      <c r="F236" s="165" t="str">
        <f t="shared" si="57"/>
        <v/>
      </c>
      <c r="G236" s="165" t="str">
        <f t="shared" si="58"/>
        <v/>
      </c>
      <c r="H236" s="165" t="str">
        <f t="shared" si="50"/>
        <v/>
      </c>
      <c r="I236" s="169" t="str">
        <f>IF(B228="","",SUM(E228:E239))</f>
        <v/>
      </c>
    </row>
    <row r="237" spans="1:9">
      <c r="A237" s="173" t="str">
        <f>IF(B237="","","Oct")</f>
        <v/>
      </c>
      <c r="B237" t="str">
        <f t="shared" si="54"/>
        <v/>
      </c>
      <c r="C237" s="165" t="str">
        <f t="shared" si="56"/>
        <v/>
      </c>
      <c r="D237" s="165" t="str">
        <f t="shared" si="55"/>
        <v/>
      </c>
      <c r="E237" s="165" t="str">
        <f t="shared" si="49"/>
        <v/>
      </c>
      <c r="F237" s="165" t="str">
        <f t="shared" si="57"/>
        <v/>
      </c>
      <c r="G237" s="165" t="str">
        <f t="shared" si="58"/>
        <v/>
      </c>
      <c r="H237" s="165" t="str">
        <f t="shared" si="50"/>
        <v/>
      </c>
      <c r="I237" s="168" t="str">
        <f>IF(B228="","","Interest")</f>
        <v/>
      </c>
    </row>
    <row r="238" spans="1:9">
      <c r="A238" s="173" t="str">
        <f>IF(B238="","","Nov")</f>
        <v/>
      </c>
      <c r="B238" t="str">
        <f t="shared" si="54"/>
        <v/>
      </c>
      <c r="C238" s="165" t="str">
        <f t="shared" ref="C238:C253" si="59">IF(B238="","",F237)</f>
        <v/>
      </c>
      <c r="D238" s="165" t="str">
        <f t="shared" si="55"/>
        <v/>
      </c>
      <c r="E238" s="165" t="str">
        <f t="shared" si="49"/>
        <v/>
      </c>
      <c r="F238" s="165" t="str">
        <f t="shared" ref="F238:F253" si="60">IF(B238="","",C238-E238)</f>
        <v/>
      </c>
      <c r="G238" s="165" t="str">
        <f t="shared" ref="G238:G253" si="61">IF(B238="","",G237+E238)</f>
        <v/>
      </c>
      <c r="H238" s="165" t="str">
        <f t="shared" si="50"/>
        <v/>
      </c>
      <c r="I238" s="169" t="str">
        <f>IF(B228="","",SUM(D228:D239))</f>
        <v/>
      </c>
    </row>
    <row r="239" spans="1:9">
      <c r="A239" s="174" t="str">
        <f>IF(B239="","","Dec")</f>
        <v/>
      </c>
      <c r="B239" s="170" t="str">
        <f t="shared" si="54"/>
        <v/>
      </c>
      <c r="C239" s="171" t="str">
        <f t="shared" si="59"/>
        <v/>
      </c>
      <c r="D239" s="171" t="str">
        <f t="shared" si="55"/>
        <v/>
      </c>
      <c r="E239" s="171" t="str">
        <f t="shared" si="49"/>
        <v/>
      </c>
      <c r="F239" s="171" t="str">
        <f t="shared" si="60"/>
        <v/>
      </c>
      <c r="G239" s="171" t="str">
        <f t="shared" si="61"/>
        <v/>
      </c>
      <c r="H239" s="171" t="str">
        <f t="shared" si="50"/>
        <v/>
      </c>
      <c r="I239" s="170" t="str">
        <f>IF(B228="","","End of year 19")</f>
        <v/>
      </c>
    </row>
    <row r="240" spans="1:9">
      <c r="A240" s="173" t="str">
        <f>IF(B240="","","Jan")</f>
        <v/>
      </c>
      <c r="B240" t="str">
        <f t="shared" si="54"/>
        <v/>
      </c>
      <c r="C240" s="165" t="str">
        <f t="shared" si="59"/>
        <v/>
      </c>
      <c r="D240" s="165" t="str">
        <f t="shared" si="55"/>
        <v/>
      </c>
      <c r="E240" s="165" t="str">
        <f t="shared" si="49"/>
        <v/>
      </c>
      <c r="F240" s="165" t="str">
        <f t="shared" si="60"/>
        <v/>
      </c>
      <c r="G240" s="165" t="str">
        <f t="shared" si="61"/>
        <v/>
      </c>
      <c r="H240" s="165" t="str">
        <f t="shared" si="50"/>
        <v/>
      </c>
    </row>
    <row r="241" spans="1:9">
      <c r="A241" s="173" t="str">
        <f>IF(B241="","","Feb")</f>
        <v/>
      </c>
      <c r="B241" t="str">
        <f t="shared" si="54"/>
        <v/>
      </c>
      <c r="C241" s="165" t="str">
        <f t="shared" si="59"/>
        <v/>
      </c>
      <c r="D241" s="165" t="str">
        <f t="shared" si="55"/>
        <v/>
      </c>
      <c r="E241" s="165" t="str">
        <f t="shared" si="49"/>
        <v/>
      </c>
      <c r="F241" s="165" t="str">
        <f t="shared" si="60"/>
        <v/>
      </c>
      <c r="G241" s="165" t="str">
        <f t="shared" si="61"/>
        <v/>
      </c>
      <c r="H241" s="165" t="str">
        <f t="shared" si="50"/>
        <v/>
      </c>
    </row>
    <row r="242" spans="1:9">
      <c r="A242" s="173" t="str">
        <f>IF(B242="","","Mar")</f>
        <v/>
      </c>
      <c r="B242" t="str">
        <f t="shared" si="54"/>
        <v/>
      </c>
      <c r="C242" s="165" t="str">
        <f t="shared" si="59"/>
        <v/>
      </c>
      <c r="D242" s="165" t="str">
        <f t="shared" si="55"/>
        <v/>
      </c>
      <c r="E242" s="165" t="str">
        <f t="shared" si="49"/>
        <v/>
      </c>
      <c r="F242" s="165" t="str">
        <f t="shared" si="60"/>
        <v/>
      </c>
      <c r="G242" s="165" t="str">
        <f t="shared" si="61"/>
        <v/>
      </c>
      <c r="H242" s="165" t="str">
        <f t="shared" si="50"/>
        <v/>
      </c>
    </row>
    <row r="243" spans="1:9">
      <c r="A243" s="173" t="str">
        <f>IF(B243="","","Apr")</f>
        <v/>
      </c>
      <c r="B243" t="str">
        <f t="shared" si="54"/>
        <v/>
      </c>
      <c r="C243" s="165" t="str">
        <f t="shared" si="59"/>
        <v/>
      </c>
      <c r="D243" s="165" t="str">
        <f t="shared" si="55"/>
        <v/>
      </c>
      <c r="E243" s="165" t="str">
        <f t="shared" si="49"/>
        <v/>
      </c>
      <c r="F243" s="165" t="str">
        <f t="shared" si="60"/>
        <v/>
      </c>
      <c r="G243" s="165" t="str">
        <f t="shared" si="61"/>
        <v/>
      </c>
      <c r="H243" s="165" t="str">
        <f t="shared" si="50"/>
        <v/>
      </c>
    </row>
    <row r="244" spans="1:9">
      <c r="A244" s="173" t="str">
        <f>IF(B244="","","May")</f>
        <v/>
      </c>
      <c r="B244" t="str">
        <f t="shared" si="54"/>
        <v/>
      </c>
      <c r="C244" s="165" t="str">
        <f t="shared" si="59"/>
        <v/>
      </c>
      <c r="D244" s="165" t="str">
        <f t="shared" si="55"/>
        <v/>
      </c>
      <c r="E244" s="165" t="str">
        <f t="shared" si="49"/>
        <v/>
      </c>
      <c r="F244" s="165" t="str">
        <f t="shared" si="60"/>
        <v/>
      </c>
      <c r="G244" s="165" t="str">
        <f t="shared" si="61"/>
        <v/>
      </c>
      <c r="H244" s="165" t="str">
        <f t="shared" si="50"/>
        <v/>
      </c>
    </row>
    <row r="245" spans="1:9">
      <c r="A245" s="173" t="str">
        <f>IF(B245="","","Jun")</f>
        <v/>
      </c>
      <c r="B245" t="str">
        <f t="shared" si="54"/>
        <v/>
      </c>
      <c r="C245" s="165" t="str">
        <f t="shared" si="59"/>
        <v/>
      </c>
      <c r="D245" s="165" t="str">
        <f t="shared" si="55"/>
        <v/>
      </c>
      <c r="E245" s="165" t="str">
        <f t="shared" si="49"/>
        <v/>
      </c>
      <c r="F245" s="165" t="str">
        <f t="shared" si="60"/>
        <v/>
      </c>
      <c r="G245" s="165" t="str">
        <f t="shared" si="61"/>
        <v/>
      </c>
      <c r="H245" s="165" t="str">
        <f t="shared" si="50"/>
        <v/>
      </c>
    </row>
    <row r="246" spans="1:9">
      <c r="A246" s="173" t="str">
        <f>IF(B246="","","Jul")</f>
        <v/>
      </c>
      <c r="B246" t="str">
        <f t="shared" si="54"/>
        <v/>
      </c>
      <c r="C246" s="165" t="str">
        <f t="shared" si="59"/>
        <v/>
      </c>
      <c r="D246" s="165" t="str">
        <f t="shared" si="55"/>
        <v/>
      </c>
      <c r="E246" s="165" t="str">
        <f t="shared" si="49"/>
        <v/>
      </c>
      <c r="F246" s="165" t="str">
        <f t="shared" si="60"/>
        <v/>
      </c>
      <c r="G246" s="165" t="str">
        <f t="shared" si="61"/>
        <v/>
      </c>
      <c r="H246" s="165" t="str">
        <f t="shared" si="50"/>
        <v/>
      </c>
    </row>
    <row r="247" spans="1:9">
      <c r="A247" s="173" t="str">
        <f>IF(B247="","","Aug")</f>
        <v/>
      </c>
      <c r="B247" t="str">
        <f t="shared" si="54"/>
        <v/>
      </c>
      <c r="C247" s="165" t="str">
        <f t="shared" si="59"/>
        <v/>
      </c>
      <c r="D247" s="165" t="str">
        <f t="shared" si="55"/>
        <v/>
      </c>
      <c r="E247" s="165" t="str">
        <f t="shared" si="49"/>
        <v/>
      </c>
      <c r="F247" s="165" t="str">
        <f t="shared" si="60"/>
        <v/>
      </c>
      <c r="G247" s="165" t="str">
        <f t="shared" si="61"/>
        <v/>
      </c>
      <c r="H247" s="165" t="str">
        <f t="shared" si="50"/>
        <v/>
      </c>
      <c r="I247" s="168" t="str">
        <f>IF(B240="","","Principal")</f>
        <v/>
      </c>
    </row>
    <row r="248" spans="1:9">
      <c r="A248" s="173" t="str">
        <f>IF(B248="","","Sep")</f>
        <v/>
      </c>
      <c r="B248" t="str">
        <f t="shared" si="54"/>
        <v/>
      </c>
      <c r="C248" s="165" t="str">
        <f t="shared" si="59"/>
        <v/>
      </c>
      <c r="D248" s="165" t="str">
        <f t="shared" si="55"/>
        <v/>
      </c>
      <c r="E248" s="165" t="str">
        <f t="shared" si="49"/>
        <v/>
      </c>
      <c r="F248" s="165" t="str">
        <f t="shared" si="60"/>
        <v/>
      </c>
      <c r="G248" s="165" t="str">
        <f t="shared" si="61"/>
        <v/>
      </c>
      <c r="H248" s="165" t="str">
        <f t="shared" si="50"/>
        <v/>
      </c>
      <c r="I248" s="169" t="str">
        <f>IF(B240="","",SUM(E240:E251))</f>
        <v/>
      </c>
    </row>
    <row r="249" spans="1:9">
      <c r="A249" s="173" t="str">
        <f>IF(B249="","","Oct")</f>
        <v/>
      </c>
      <c r="B249" t="str">
        <f t="shared" si="54"/>
        <v/>
      </c>
      <c r="C249" s="165" t="str">
        <f t="shared" si="59"/>
        <v/>
      </c>
      <c r="D249" s="165" t="str">
        <f t="shared" si="55"/>
        <v/>
      </c>
      <c r="E249" s="165" t="str">
        <f t="shared" si="49"/>
        <v/>
      </c>
      <c r="F249" s="165" t="str">
        <f t="shared" si="60"/>
        <v/>
      </c>
      <c r="G249" s="165" t="str">
        <f t="shared" si="61"/>
        <v/>
      </c>
      <c r="H249" s="165" t="str">
        <f t="shared" si="50"/>
        <v/>
      </c>
      <c r="I249" s="168" t="str">
        <f>IF(B240="","","Interest")</f>
        <v/>
      </c>
    </row>
    <row r="250" spans="1:9">
      <c r="A250" s="173" t="str">
        <f>IF(B250="","","Nov")</f>
        <v/>
      </c>
      <c r="B250" t="str">
        <f t="shared" si="54"/>
        <v/>
      </c>
      <c r="C250" s="165" t="str">
        <f t="shared" si="59"/>
        <v/>
      </c>
      <c r="D250" s="165" t="str">
        <f t="shared" si="55"/>
        <v/>
      </c>
      <c r="E250" s="165" t="str">
        <f t="shared" si="49"/>
        <v/>
      </c>
      <c r="F250" s="165" t="str">
        <f t="shared" si="60"/>
        <v/>
      </c>
      <c r="G250" s="165" t="str">
        <f t="shared" si="61"/>
        <v/>
      </c>
      <c r="H250" s="165" t="str">
        <f t="shared" si="50"/>
        <v/>
      </c>
      <c r="I250" s="169" t="str">
        <f>IF(B240="","",SUM(D240:D251))</f>
        <v/>
      </c>
    </row>
    <row r="251" spans="1:9">
      <c r="A251" s="174" t="str">
        <f>IF(B251="","","Dec")</f>
        <v/>
      </c>
      <c r="B251" s="170" t="str">
        <f t="shared" si="54"/>
        <v/>
      </c>
      <c r="C251" s="171" t="str">
        <f t="shared" si="59"/>
        <v/>
      </c>
      <c r="D251" s="171" t="str">
        <f t="shared" si="55"/>
        <v/>
      </c>
      <c r="E251" s="171" t="str">
        <f t="shared" si="49"/>
        <v/>
      </c>
      <c r="F251" s="171" t="str">
        <f t="shared" si="60"/>
        <v/>
      </c>
      <c r="G251" s="171" t="str">
        <f t="shared" si="61"/>
        <v/>
      </c>
      <c r="H251" s="171" t="str">
        <f t="shared" si="50"/>
        <v/>
      </c>
      <c r="I251" s="170" t="str">
        <f>IF(B240="","","End of year 20")</f>
        <v/>
      </c>
    </row>
    <row r="252" spans="1:9">
      <c r="A252" s="173" t="str">
        <f>IF(B252="","","Jan")</f>
        <v/>
      </c>
      <c r="B252" t="str">
        <f t="shared" si="54"/>
        <v/>
      </c>
      <c r="C252" s="165" t="str">
        <f t="shared" si="59"/>
        <v/>
      </c>
      <c r="D252" s="165" t="str">
        <f t="shared" si="55"/>
        <v/>
      </c>
      <c r="E252" s="165" t="str">
        <f t="shared" si="49"/>
        <v/>
      </c>
      <c r="F252" s="165" t="str">
        <f t="shared" si="60"/>
        <v/>
      </c>
      <c r="G252" s="165" t="str">
        <f t="shared" si="61"/>
        <v/>
      </c>
      <c r="H252" s="165" t="str">
        <f t="shared" si="50"/>
        <v/>
      </c>
    </row>
    <row r="253" spans="1:9">
      <c r="A253" s="173" t="str">
        <f>IF(B253="","","Feb")</f>
        <v/>
      </c>
      <c r="B253" t="str">
        <f t="shared" si="54"/>
        <v/>
      </c>
      <c r="C253" s="165" t="str">
        <f t="shared" si="59"/>
        <v/>
      </c>
      <c r="D253" s="165" t="str">
        <f t="shared" si="55"/>
        <v/>
      </c>
      <c r="E253" s="165" t="str">
        <f t="shared" si="49"/>
        <v/>
      </c>
      <c r="F253" s="165" t="str">
        <f t="shared" si="60"/>
        <v/>
      </c>
      <c r="G253" s="165" t="str">
        <f t="shared" si="61"/>
        <v/>
      </c>
      <c r="H253" s="165" t="str">
        <f t="shared" si="50"/>
        <v/>
      </c>
    </row>
    <row r="254" spans="1:9">
      <c r="A254" s="173" t="str">
        <f>IF(B254="","","Mar")</f>
        <v/>
      </c>
      <c r="B254" t="str">
        <f t="shared" si="54"/>
        <v/>
      </c>
      <c r="C254" s="165" t="str">
        <f t="shared" ref="C254:C269" si="62">IF(B254="","",F253)</f>
        <v/>
      </c>
      <c r="D254" s="165" t="str">
        <f t="shared" si="55"/>
        <v/>
      </c>
      <c r="E254" s="165" t="str">
        <f t="shared" si="49"/>
        <v/>
      </c>
      <c r="F254" s="165" t="str">
        <f t="shared" ref="F254:F269" si="63">IF(B254="","",C254-E254)</f>
        <v/>
      </c>
      <c r="G254" s="165" t="str">
        <f t="shared" ref="G254:G269" si="64">IF(B254="","",G253+E254)</f>
        <v/>
      </c>
      <c r="H254" s="165" t="str">
        <f t="shared" si="50"/>
        <v/>
      </c>
    </row>
    <row r="255" spans="1:9">
      <c r="A255" s="173" t="str">
        <f>IF(B255="","","Apr")</f>
        <v/>
      </c>
      <c r="B255" t="str">
        <f t="shared" si="54"/>
        <v/>
      </c>
      <c r="C255" s="165" t="str">
        <f t="shared" si="62"/>
        <v/>
      </c>
      <c r="D255" s="165" t="str">
        <f t="shared" si="55"/>
        <v/>
      </c>
      <c r="E255" s="165" t="str">
        <f t="shared" si="49"/>
        <v/>
      </c>
      <c r="F255" s="165" t="str">
        <f t="shared" si="63"/>
        <v/>
      </c>
      <c r="G255" s="165" t="str">
        <f t="shared" si="64"/>
        <v/>
      </c>
      <c r="H255" s="165" t="str">
        <f t="shared" si="50"/>
        <v/>
      </c>
    </row>
    <row r="256" spans="1:9">
      <c r="A256" s="173" t="str">
        <f>IF(B256="","","May")</f>
        <v/>
      </c>
      <c r="B256" t="str">
        <f t="shared" si="54"/>
        <v/>
      </c>
      <c r="C256" s="165" t="str">
        <f t="shared" si="62"/>
        <v/>
      </c>
      <c r="D256" s="165" t="str">
        <f t="shared" si="55"/>
        <v/>
      </c>
      <c r="E256" s="165" t="str">
        <f t="shared" si="49"/>
        <v/>
      </c>
      <c r="F256" s="165" t="str">
        <f t="shared" si="63"/>
        <v/>
      </c>
      <c r="G256" s="165" t="str">
        <f t="shared" si="64"/>
        <v/>
      </c>
      <c r="H256" s="165" t="str">
        <f t="shared" si="50"/>
        <v/>
      </c>
    </row>
    <row r="257" spans="1:9">
      <c r="A257" s="173" t="str">
        <f>IF(B257="","","Jun")</f>
        <v/>
      </c>
      <c r="B257" t="str">
        <f t="shared" si="54"/>
        <v/>
      </c>
      <c r="C257" s="165" t="str">
        <f t="shared" si="62"/>
        <v/>
      </c>
      <c r="D257" s="165" t="str">
        <f t="shared" si="55"/>
        <v/>
      </c>
      <c r="E257" s="165" t="str">
        <f t="shared" si="49"/>
        <v/>
      </c>
      <c r="F257" s="165" t="str">
        <f t="shared" si="63"/>
        <v/>
      </c>
      <c r="G257" s="165" t="str">
        <f t="shared" si="64"/>
        <v/>
      </c>
      <c r="H257" s="165" t="str">
        <f t="shared" si="50"/>
        <v/>
      </c>
    </row>
    <row r="258" spans="1:9">
      <c r="A258" s="173" t="str">
        <f>IF(B258="","","Jul")</f>
        <v/>
      </c>
      <c r="B258" t="str">
        <f t="shared" si="54"/>
        <v/>
      </c>
      <c r="C258" s="165" t="str">
        <f t="shared" si="62"/>
        <v/>
      </c>
      <c r="D258" s="165" t="str">
        <f t="shared" si="55"/>
        <v/>
      </c>
      <c r="E258" s="165" t="str">
        <f t="shared" si="49"/>
        <v/>
      </c>
      <c r="F258" s="165" t="str">
        <f t="shared" si="63"/>
        <v/>
      </c>
      <c r="G258" s="165" t="str">
        <f t="shared" si="64"/>
        <v/>
      </c>
      <c r="H258" s="165" t="str">
        <f t="shared" si="50"/>
        <v/>
      </c>
    </row>
    <row r="259" spans="1:9">
      <c r="A259" s="173" t="str">
        <f>IF(B259="","","Aug")</f>
        <v/>
      </c>
      <c r="B259" t="str">
        <f t="shared" si="54"/>
        <v/>
      </c>
      <c r="C259" s="165" t="str">
        <f t="shared" si="62"/>
        <v/>
      </c>
      <c r="D259" s="165" t="str">
        <f t="shared" si="55"/>
        <v/>
      </c>
      <c r="E259" s="165" t="str">
        <f t="shared" si="49"/>
        <v/>
      </c>
      <c r="F259" s="165" t="str">
        <f t="shared" si="63"/>
        <v/>
      </c>
      <c r="G259" s="165" t="str">
        <f t="shared" si="64"/>
        <v/>
      </c>
      <c r="H259" s="165" t="str">
        <f t="shared" si="50"/>
        <v/>
      </c>
      <c r="I259" s="168" t="str">
        <f>IF(B252="","","Principal")</f>
        <v/>
      </c>
    </row>
    <row r="260" spans="1:9">
      <c r="A260" s="173" t="str">
        <f>IF(B260="","","Sep")</f>
        <v/>
      </c>
      <c r="B260" t="str">
        <f t="shared" si="54"/>
        <v/>
      </c>
      <c r="C260" s="165" t="str">
        <f t="shared" si="62"/>
        <v/>
      </c>
      <c r="D260" s="165" t="str">
        <f t="shared" si="55"/>
        <v/>
      </c>
      <c r="E260" s="165" t="str">
        <f t="shared" si="49"/>
        <v/>
      </c>
      <c r="F260" s="165" t="str">
        <f t="shared" si="63"/>
        <v/>
      </c>
      <c r="G260" s="165" t="str">
        <f t="shared" si="64"/>
        <v/>
      </c>
      <c r="H260" s="165" t="str">
        <f t="shared" si="50"/>
        <v/>
      </c>
      <c r="I260" s="169" t="str">
        <f>IF(B252="","",SUM(E252:E263))</f>
        <v/>
      </c>
    </row>
    <row r="261" spans="1:9">
      <c r="A261" s="173" t="str">
        <f>IF(B261="","","Oct")</f>
        <v/>
      </c>
      <c r="B261" t="str">
        <f t="shared" si="54"/>
        <v/>
      </c>
      <c r="C261" s="165" t="str">
        <f t="shared" si="62"/>
        <v/>
      </c>
      <c r="D261" s="165" t="str">
        <f t="shared" si="55"/>
        <v/>
      </c>
      <c r="E261" s="165" t="str">
        <f t="shared" si="49"/>
        <v/>
      </c>
      <c r="F261" s="165" t="str">
        <f t="shared" si="63"/>
        <v/>
      </c>
      <c r="G261" s="165" t="str">
        <f t="shared" si="64"/>
        <v/>
      </c>
      <c r="H261" s="165" t="str">
        <f t="shared" si="50"/>
        <v/>
      </c>
      <c r="I261" s="168" t="str">
        <f>IF(B252="","","Interest")</f>
        <v/>
      </c>
    </row>
    <row r="262" spans="1:9">
      <c r="A262" s="173" t="str">
        <f>IF(B262="","","Nov")</f>
        <v/>
      </c>
      <c r="B262" t="str">
        <f t="shared" si="54"/>
        <v/>
      </c>
      <c r="C262" s="165" t="str">
        <f t="shared" si="62"/>
        <v/>
      </c>
      <c r="D262" s="165" t="str">
        <f t="shared" si="55"/>
        <v/>
      </c>
      <c r="E262" s="165" t="str">
        <f t="shared" si="49"/>
        <v/>
      </c>
      <c r="F262" s="165" t="str">
        <f t="shared" si="63"/>
        <v/>
      </c>
      <c r="G262" s="165" t="str">
        <f t="shared" si="64"/>
        <v/>
      </c>
      <c r="H262" s="165" t="str">
        <f t="shared" si="50"/>
        <v/>
      </c>
      <c r="I262" s="169" t="str">
        <f>IF(B252="","",SUM(D252:D263))</f>
        <v/>
      </c>
    </row>
    <row r="263" spans="1:9">
      <c r="A263" s="174" t="str">
        <f>IF(B263="","","Dec")</f>
        <v/>
      </c>
      <c r="B263" s="170" t="str">
        <f t="shared" si="54"/>
        <v/>
      </c>
      <c r="C263" s="171" t="str">
        <f t="shared" si="62"/>
        <v/>
      </c>
      <c r="D263" s="171" t="str">
        <f t="shared" si="55"/>
        <v/>
      </c>
      <c r="E263" s="171" t="str">
        <f t="shared" si="49"/>
        <v/>
      </c>
      <c r="F263" s="171" t="str">
        <f t="shared" si="63"/>
        <v/>
      </c>
      <c r="G263" s="171" t="str">
        <f t="shared" si="64"/>
        <v/>
      </c>
      <c r="H263" s="171" t="str">
        <f t="shared" si="50"/>
        <v/>
      </c>
      <c r="I263" s="170" t="str">
        <f>IF(B252="","","End of year 21")</f>
        <v/>
      </c>
    </row>
    <row r="264" spans="1:9">
      <c r="A264" s="173" t="str">
        <f>IF(B264="","","Jan")</f>
        <v/>
      </c>
      <c r="B264" t="str">
        <f t="shared" si="54"/>
        <v/>
      </c>
      <c r="C264" s="165" t="str">
        <f t="shared" si="62"/>
        <v/>
      </c>
      <c r="D264" s="165" t="str">
        <f t="shared" si="55"/>
        <v/>
      </c>
      <c r="E264" s="165" t="str">
        <f t="shared" si="49"/>
        <v/>
      </c>
      <c r="F264" s="165" t="str">
        <f t="shared" si="63"/>
        <v/>
      </c>
      <c r="G264" s="165" t="str">
        <f t="shared" si="64"/>
        <v/>
      </c>
      <c r="H264" s="165" t="str">
        <f t="shared" si="50"/>
        <v/>
      </c>
    </row>
    <row r="265" spans="1:9">
      <c r="A265" s="173" t="str">
        <f>IF(B265="","","Feb")</f>
        <v/>
      </c>
      <c r="B265" t="str">
        <f t="shared" si="54"/>
        <v/>
      </c>
      <c r="C265" s="165" t="str">
        <f t="shared" si="62"/>
        <v/>
      </c>
      <c r="D265" s="165" t="str">
        <f t="shared" si="55"/>
        <v/>
      </c>
      <c r="E265" s="165" t="str">
        <f t="shared" si="49"/>
        <v/>
      </c>
      <c r="F265" s="165" t="str">
        <f t="shared" si="63"/>
        <v/>
      </c>
      <c r="G265" s="165" t="str">
        <f t="shared" si="64"/>
        <v/>
      </c>
      <c r="H265" s="165" t="str">
        <f t="shared" si="50"/>
        <v/>
      </c>
    </row>
    <row r="266" spans="1:9">
      <c r="A266" s="173" t="str">
        <f>IF(B266="","","Mar")</f>
        <v/>
      </c>
      <c r="B266" t="str">
        <f t="shared" si="54"/>
        <v/>
      </c>
      <c r="C266" s="165" t="str">
        <f t="shared" si="62"/>
        <v/>
      </c>
      <c r="D266" s="165" t="str">
        <f t="shared" si="55"/>
        <v/>
      </c>
      <c r="E266" s="165" t="str">
        <f t="shared" si="49"/>
        <v/>
      </c>
      <c r="F266" s="165" t="str">
        <f t="shared" si="63"/>
        <v/>
      </c>
      <c r="G266" s="165" t="str">
        <f t="shared" si="64"/>
        <v/>
      </c>
      <c r="H266" s="165" t="str">
        <f t="shared" si="50"/>
        <v/>
      </c>
    </row>
    <row r="267" spans="1:9">
      <c r="A267" s="173" t="str">
        <f>IF(B267="","","Apr")</f>
        <v/>
      </c>
      <c r="B267" t="str">
        <f t="shared" si="54"/>
        <v/>
      </c>
      <c r="C267" s="165" t="str">
        <f t="shared" si="62"/>
        <v/>
      </c>
      <c r="D267" s="165" t="str">
        <f t="shared" si="55"/>
        <v/>
      </c>
      <c r="E267" s="165" t="str">
        <f t="shared" si="49"/>
        <v/>
      </c>
      <c r="F267" s="165" t="str">
        <f t="shared" si="63"/>
        <v/>
      </c>
      <c r="G267" s="165" t="str">
        <f t="shared" si="64"/>
        <v/>
      </c>
      <c r="H267" s="165" t="str">
        <f t="shared" si="50"/>
        <v/>
      </c>
    </row>
    <row r="268" spans="1:9">
      <c r="A268" s="173" t="str">
        <f>IF(B268="","","May")</f>
        <v/>
      </c>
      <c r="B268" t="str">
        <f t="shared" si="54"/>
        <v/>
      </c>
      <c r="C268" s="165" t="str">
        <f t="shared" si="62"/>
        <v/>
      </c>
      <c r="D268" s="165" t="str">
        <f t="shared" si="55"/>
        <v/>
      </c>
      <c r="E268" s="165" t="str">
        <f t="shared" si="49"/>
        <v/>
      </c>
      <c r="F268" s="165" t="str">
        <f t="shared" si="63"/>
        <v/>
      </c>
      <c r="G268" s="165" t="str">
        <f t="shared" si="64"/>
        <v/>
      </c>
      <c r="H268" s="165" t="str">
        <f t="shared" si="50"/>
        <v/>
      </c>
    </row>
    <row r="269" spans="1:9">
      <c r="A269" s="173" t="str">
        <f>IF(B269="","","Jun")</f>
        <v/>
      </c>
      <c r="B269" t="str">
        <f t="shared" si="54"/>
        <v/>
      </c>
      <c r="C269" s="165" t="str">
        <f t="shared" si="62"/>
        <v/>
      </c>
      <c r="D269" s="165" t="str">
        <f t="shared" si="55"/>
        <v/>
      </c>
      <c r="E269" s="165" t="str">
        <f t="shared" ref="E269:E332" si="65">IF(B269="","",IF(C269+D269&lt;($G$3+$C$7),(C269+D269)-D269,($G$3+$C$7)-D269))</f>
        <v/>
      </c>
      <c r="F269" s="165" t="str">
        <f t="shared" si="63"/>
        <v/>
      </c>
      <c r="G269" s="165" t="str">
        <f t="shared" si="64"/>
        <v/>
      </c>
      <c r="H269" s="165" t="str">
        <f t="shared" ref="H269:H332" si="66">IF(B269="","",H268+D269)</f>
        <v/>
      </c>
    </row>
    <row r="270" spans="1:9">
      <c r="A270" s="173" t="str">
        <f>IF(B270="","","Jul")</f>
        <v/>
      </c>
      <c r="B270" t="str">
        <f t="shared" si="54"/>
        <v/>
      </c>
      <c r="C270" s="165" t="str">
        <f t="shared" ref="C270:C285" si="67">IF(B270="","",F269)</f>
        <v/>
      </c>
      <c r="D270" s="165" t="str">
        <f t="shared" si="55"/>
        <v/>
      </c>
      <c r="E270" s="165" t="str">
        <f t="shared" si="65"/>
        <v/>
      </c>
      <c r="F270" s="165" t="str">
        <f t="shared" ref="F270:F285" si="68">IF(B270="","",C270-E270)</f>
        <v/>
      </c>
      <c r="G270" s="165" t="str">
        <f t="shared" ref="G270:G285" si="69">IF(B270="","",G269+E270)</f>
        <v/>
      </c>
      <c r="H270" s="165" t="str">
        <f t="shared" si="66"/>
        <v/>
      </c>
    </row>
    <row r="271" spans="1:9">
      <c r="A271" s="173" t="str">
        <f>IF(B271="","","Aug")</f>
        <v/>
      </c>
      <c r="B271" t="str">
        <f t="shared" si="54"/>
        <v/>
      </c>
      <c r="C271" s="165" t="str">
        <f t="shared" si="67"/>
        <v/>
      </c>
      <c r="D271" s="165" t="str">
        <f t="shared" si="55"/>
        <v/>
      </c>
      <c r="E271" s="165" t="str">
        <f t="shared" si="65"/>
        <v/>
      </c>
      <c r="F271" s="165" t="str">
        <f t="shared" si="68"/>
        <v/>
      </c>
      <c r="G271" s="165" t="str">
        <f t="shared" si="69"/>
        <v/>
      </c>
      <c r="H271" s="165" t="str">
        <f t="shared" si="66"/>
        <v/>
      </c>
      <c r="I271" s="168" t="str">
        <f>IF(B264="","","Principal")</f>
        <v/>
      </c>
    </row>
    <row r="272" spans="1:9">
      <c r="A272" s="173" t="str">
        <f>IF(B272="","","Sep")</f>
        <v/>
      </c>
      <c r="B272" t="str">
        <f t="shared" si="54"/>
        <v/>
      </c>
      <c r="C272" s="165" t="str">
        <f t="shared" si="67"/>
        <v/>
      </c>
      <c r="D272" s="165" t="str">
        <f t="shared" si="55"/>
        <v/>
      </c>
      <c r="E272" s="165" t="str">
        <f t="shared" si="65"/>
        <v/>
      </c>
      <c r="F272" s="165" t="str">
        <f t="shared" si="68"/>
        <v/>
      </c>
      <c r="G272" s="165" t="str">
        <f t="shared" si="69"/>
        <v/>
      </c>
      <c r="H272" s="165" t="str">
        <f t="shared" si="66"/>
        <v/>
      </c>
      <c r="I272" s="169" t="str">
        <f>IF(B264="","",SUM(E264:E275))</f>
        <v/>
      </c>
    </row>
    <row r="273" spans="1:9">
      <c r="A273" s="173" t="str">
        <f>IF(B273="","","Oct")</f>
        <v/>
      </c>
      <c r="B273" t="str">
        <f t="shared" si="54"/>
        <v/>
      </c>
      <c r="C273" s="165" t="str">
        <f t="shared" si="67"/>
        <v/>
      </c>
      <c r="D273" s="165" t="str">
        <f t="shared" si="55"/>
        <v/>
      </c>
      <c r="E273" s="165" t="str">
        <f t="shared" si="65"/>
        <v/>
      </c>
      <c r="F273" s="165" t="str">
        <f t="shared" si="68"/>
        <v/>
      </c>
      <c r="G273" s="165" t="str">
        <f t="shared" si="69"/>
        <v/>
      </c>
      <c r="H273" s="165" t="str">
        <f t="shared" si="66"/>
        <v/>
      </c>
      <c r="I273" s="168" t="str">
        <f>IF(B264="","","Interest")</f>
        <v/>
      </c>
    </row>
    <row r="274" spans="1:9">
      <c r="A274" s="173" t="str">
        <f>IF(B274="","","Nov")</f>
        <v/>
      </c>
      <c r="B274" t="str">
        <f t="shared" si="54"/>
        <v/>
      </c>
      <c r="C274" s="165" t="str">
        <f t="shared" si="67"/>
        <v/>
      </c>
      <c r="D274" s="165" t="str">
        <f t="shared" si="55"/>
        <v/>
      </c>
      <c r="E274" s="165" t="str">
        <f t="shared" si="65"/>
        <v/>
      </c>
      <c r="F274" s="165" t="str">
        <f t="shared" si="68"/>
        <v/>
      </c>
      <c r="G274" s="165" t="str">
        <f t="shared" si="69"/>
        <v/>
      </c>
      <c r="H274" s="165" t="str">
        <f t="shared" si="66"/>
        <v/>
      </c>
      <c r="I274" s="169" t="str">
        <f>IF(B264="","",SUM(D264:D275))</f>
        <v/>
      </c>
    </row>
    <row r="275" spans="1:9">
      <c r="A275" s="174" t="str">
        <f>IF(B275="","","Dec")</f>
        <v/>
      </c>
      <c r="B275" s="170" t="str">
        <f t="shared" si="54"/>
        <v/>
      </c>
      <c r="C275" s="171" t="str">
        <f t="shared" si="67"/>
        <v/>
      </c>
      <c r="D275" s="171" t="str">
        <f t="shared" si="55"/>
        <v/>
      </c>
      <c r="E275" s="171" t="str">
        <f t="shared" si="65"/>
        <v/>
      </c>
      <c r="F275" s="171" t="str">
        <f t="shared" si="68"/>
        <v/>
      </c>
      <c r="G275" s="171" t="str">
        <f t="shared" si="69"/>
        <v/>
      </c>
      <c r="H275" s="171" t="str">
        <f t="shared" si="66"/>
        <v/>
      </c>
      <c r="I275" s="170" t="str">
        <f>IF(B264="","","End of year 22")</f>
        <v/>
      </c>
    </row>
    <row r="276" spans="1:9">
      <c r="A276" s="173" t="str">
        <f>IF(B276="","","Jan")</f>
        <v/>
      </c>
      <c r="B276" t="str">
        <f t="shared" si="54"/>
        <v/>
      </c>
      <c r="C276" s="165" t="str">
        <f t="shared" si="67"/>
        <v/>
      </c>
      <c r="D276" s="165" t="str">
        <f t="shared" si="55"/>
        <v/>
      </c>
      <c r="E276" s="165" t="str">
        <f t="shared" si="65"/>
        <v/>
      </c>
      <c r="F276" s="165" t="str">
        <f t="shared" si="68"/>
        <v/>
      </c>
      <c r="G276" s="165" t="str">
        <f t="shared" si="69"/>
        <v/>
      </c>
      <c r="H276" s="165" t="str">
        <f t="shared" si="66"/>
        <v/>
      </c>
    </row>
    <row r="277" spans="1:9">
      <c r="A277" s="173" t="str">
        <f>IF(B277="","","Feb")</f>
        <v/>
      </c>
      <c r="B277" t="str">
        <f t="shared" si="54"/>
        <v/>
      </c>
      <c r="C277" s="165" t="str">
        <f t="shared" si="67"/>
        <v/>
      </c>
      <c r="D277" s="165" t="str">
        <f t="shared" si="55"/>
        <v/>
      </c>
      <c r="E277" s="165" t="str">
        <f t="shared" si="65"/>
        <v/>
      </c>
      <c r="F277" s="165" t="str">
        <f t="shared" si="68"/>
        <v/>
      </c>
      <c r="G277" s="165" t="str">
        <f t="shared" si="69"/>
        <v/>
      </c>
      <c r="H277" s="165" t="str">
        <f t="shared" si="66"/>
        <v/>
      </c>
    </row>
    <row r="278" spans="1:9">
      <c r="A278" s="173" t="str">
        <f>IF(B278="","","Mar")</f>
        <v/>
      </c>
      <c r="B278" t="str">
        <f t="shared" si="54"/>
        <v/>
      </c>
      <c r="C278" s="165" t="str">
        <f t="shared" si="67"/>
        <v/>
      </c>
      <c r="D278" s="165" t="str">
        <f t="shared" si="55"/>
        <v/>
      </c>
      <c r="E278" s="165" t="str">
        <f t="shared" si="65"/>
        <v/>
      </c>
      <c r="F278" s="165" t="str">
        <f t="shared" si="68"/>
        <v/>
      </c>
      <c r="G278" s="165" t="str">
        <f t="shared" si="69"/>
        <v/>
      </c>
      <c r="H278" s="165" t="str">
        <f t="shared" si="66"/>
        <v/>
      </c>
    </row>
    <row r="279" spans="1:9">
      <c r="A279" s="173" t="str">
        <f>IF(B279="","","Apr")</f>
        <v/>
      </c>
      <c r="B279" t="str">
        <f t="shared" si="54"/>
        <v/>
      </c>
      <c r="C279" s="165" t="str">
        <f t="shared" si="67"/>
        <v/>
      </c>
      <c r="D279" s="165" t="str">
        <f t="shared" si="55"/>
        <v/>
      </c>
      <c r="E279" s="165" t="str">
        <f t="shared" si="65"/>
        <v/>
      </c>
      <c r="F279" s="165" t="str">
        <f t="shared" si="68"/>
        <v/>
      </c>
      <c r="G279" s="165" t="str">
        <f t="shared" si="69"/>
        <v/>
      </c>
      <c r="H279" s="165" t="str">
        <f t="shared" si="66"/>
        <v/>
      </c>
    </row>
    <row r="280" spans="1:9">
      <c r="A280" s="173" t="str">
        <f>IF(B280="","","May")</f>
        <v/>
      </c>
      <c r="B280" t="str">
        <f t="shared" si="54"/>
        <v/>
      </c>
      <c r="C280" s="165" t="str">
        <f t="shared" si="67"/>
        <v/>
      </c>
      <c r="D280" s="165" t="str">
        <f t="shared" si="55"/>
        <v/>
      </c>
      <c r="E280" s="165" t="str">
        <f t="shared" si="65"/>
        <v/>
      </c>
      <c r="F280" s="165" t="str">
        <f t="shared" si="68"/>
        <v/>
      </c>
      <c r="G280" s="165" t="str">
        <f t="shared" si="69"/>
        <v/>
      </c>
      <c r="H280" s="165" t="str">
        <f t="shared" si="66"/>
        <v/>
      </c>
    </row>
    <row r="281" spans="1:9">
      <c r="A281" s="173" t="str">
        <f>IF(B281="","","Jun")</f>
        <v/>
      </c>
      <c r="B281" t="str">
        <f t="shared" ref="B281:B344" si="70">IF(B280=ABS($C$5),"",IF(B280="","",IF(G280&gt;=$C$3,"",B280+1)))</f>
        <v/>
      </c>
      <c r="C281" s="165" t="str">
        <f t="shared" si="67"/>
        <v/>
      </c>
      <c r="D281" s="165" t="str">
        <f t="shared" si="55"/>
        <v/>
      </c>
      <c r="E281" s="165" t="str">
        <f t="shared" si="65"/>
        <v/>
      </c>
      <c r="F281" s="165" t="str">
        <f t="shared" si="68"/>
        <v/>
      </c>
      <c r="G281" s="165" t="str">
        <f t="shared" si="69"/>
        <v/>
      </c>
      <c r="H281" s="165" t="str">
        <f t="shared" si="66"/>
        <v/>
      </c>
    </row>
    <row r="282" spans="1:9">
      <c r="A282" s="173" t="str">
        <f>IF(B282="","","Jul")</f>
        <v/>
      </c>
      <c r="B282" t="str">
        <f t="shared" si="70"/>
        <v/>
      </c>
      <c r="C282" s="165" t="str">
        <f t="shared" si="67"/>
        <v/>
      </c>
      <c r="D282" s="165" t="str">
        <f t="shared" ref="D282:D345" si="71">IF(B282="","",C282*(($C$4/100)/12))</f>
        <v/>
      </c>
      <c r="E282" s="165" t="str">
        <f t="shared" si="65"/>
        <v/>
      </c>
      <c r="F282" s="165" t="str">
        <f t="shared" si="68"/>
        <v/>
      </c>
      <c r="G282" s="165" t="str">
        <f t="shared" si="69"/>
        <v/>
      </c>
      <c r="H282" s="165" t="str">
        <f t="shared" si="66"/>
        <v/>
      </c>
    </row>
    <row r="283" spans="1:9">
      <c r="A283" s="173" t="str">
        <f>IF(B283="","","Aug")</f>
        <v/>
      </c>
      <c r="B283" t="str">
        <f t="shared" si="70"/>
        <v/>
      </c>
      <c r="C283" s="165" t="str">
        <f t="shared" si="67"/>
        <v/>
      </c>
      <c r="D283" s="165" t="str">
        <f t="shared" si="71"/>
        <v/>
      </c>
      <c r="E283" s="165" t="str">
        <f t="shared" si="65"/>
        <v/>
      </c>
      <c r="F283" s="165" t="str">
        <f t="shared" si="68"/>
        <v/>
      </c>
      <c r="G283" s="165" t="str">
        <f t="shared" si="69"/>
        <v/>
      </c>
      <c r="H283" s="165" t="str">
        <f t="shared" si="66"/>
        <v/>
      </c>
      <c r="I283" s="168" t="str">
        <f>IF(B276="","","Principal")</f>
        <v/>
      </c>
    </row>
    <row r="284" spans="1:9">
      <c r="A284" s="173" t="str">
        <f>IF(B284="","","Sep")</f>
        <v/>
      </c>
      <c r="B284" t="str">
        <f t="shared" si="70"/>
        <v/>
      </c>
      <c r="C284" s="165" t="str">
        <f t="shared" si="67"/>
        <v/>
      </c>
      <c r="D284" s="165" t="str">
        <f t="shared" si="71"/>
        <v/>
      </c>
      <c r="E284" s="165" t="str">
        <f t="shared" si="65"/>
        <v/>
      </c>
      <c r="F284" s="165" t="str">
        <f t="shared" si="68"/>
        <v/>
      </c>
      <c r="G284" s="165" t="str">
        <f t="shared" si="69"/>
        <v/>
      </c>
      <c r="H284" s="165" t="str">
        <f t="shared" si="66"/>
        <v/>
      </c>
      <c r="I284" s="169" t="str">
        <f>IF(B276="","",SUM(E276:E287))</f>
        <v/>
      </c>
    </row>
    <row r="285" spans="1:9">
      <c r="A285" s="173" t="str">
        <f>IF(B285="","","Oct")</f>
        <v/>
      </c>
      <c r="B285" t="str">
        <f t="shared" si="70"/>
        <v/>
      </c>
      <c r="C285" s="165" t="str">
        <f t="shared" si="67"/>
        <v/>
      </c>
      <c r="D285" s="165" t="str">
        <f t="shared" si="71"/>
        <v/>
      </c>
      <c r="E285" s="165" t="str">
        <f t="shared" si="65"/>
        <v/>
      </c>
      <c r="F285" s="165" t="str">
        <f t="shared" si="68"/>
        <v/>
      </c>
      <c r="G285" s="165" t="str">
        <f t="shared" si="69"/>
        <v/>
      </c>
      <c r="H285" s="165" t="str">
        <f t="shared" si="66"/>
        <v/>
      </c>
      <c r="I285" s="168" t="str">
        <f>IF(B276="","","Interest")</f>
        <v/>
      </c>
    </row>
    <row r="286" spans="1:9">
      <c r="A286" s="173" t="str">
        <f>IF(B286="","","Nov")</f>
        <v/>
      </c>
      <c r="B286" t="str">
        <f t="shared" si="70"/>
        <v/>
      </c>
      <c r="C286" s="165" t="str">
        <f t="shared" ref="C286:C301" si="72">IF(B286="","",F285)</f>
        <v/>
      </c>
      <c r="D286" s="165" t="str">
        <f t="shared" si="71"/>
        <v/>
      </c>
      <c r="E286" s="165" t="str">
        <f t="shared" si="65"/>
        <v/>
      </c>
      <c r="F286" s="165" t="str">
        <f t="shared" ref="F286:F301" si="73">IF(B286="","",C286-E286)</f>
        <v/>
      </c>
      <c r="G286" s="165" t="str">
        <f t="shared" ref="G286:G301" si="74">IF(B286="","",G285+E286)</f>
        <v/>
      </c>
      <c r="H286" s="165" t="str">
        <f t="shared" si="66"/>
        <v/>
      </c>
      <c r="I286" s="169" t="str">
        <f>IF(B276="","",SUM(D276:D287))</f>
        <v/>
      </c>
    </row>
    <row r="287" spans="1:9">
      <c r="A287" s="174" t="str">
        <f>IF(B287="","","Dec")</f>
        <v/>
      </c>
      <c r="B287" s="170" t="str">
        <f t="shared" si="70"/>
        <v/>
      </c>
      <c r="C287" s="171" t="str">
        <f t="shared" si="72"/>
        <v/>
      </c>
      <c r="D287" s="171" t="str">
        <f t="shared" si="71"/>
        <v/>
      </c>
      <c r="E287" s="171" t="str">
        <f t="shared" si="65"/>
        <v/>
      </c>
      <c r="F287" s="171" t="str">
        <f t="shared" si="73"/>
        <v/>
      </c>
      <c r="G287" s="171" t="str">
        <f t="shared" si="74"/>
        <v/>
      </c>
      <c r="H287" s="171" t="str">
        <f t="shared" si="66"/>
        <v/>
      </c>
      <c r="I287" s="170" t="str">
        <f>IF(B276="","","End of year 23")</f>
        <v/>
      </c>
    </row>
    <row r="288" spans="1:9">
      <c r="A288" s="173" t="str">
        <f>IF(B288="","","Jan")</f>
        <v/>
      </c>
      <c r="B288" t="str">
        <f t="shared" si="70"/>
        <v/>
      </c>
      <c r="C288" s="165" t="str">
        <f t="shared" si="72"/>
        <v/>
      </c>
      <c r="D288" s="165" t="str">
        <f t="shared" si="71"/>
        <v/>
      </c>
      <c r="E288" s="165" t="str">
        <f t="shared" si="65"/>
        <v/>
      </c>
      <c r="F288" s="165" t="str">
        <f t="shared" si="73"/>
        <v/>
      </c>
      <c r="G288" s="165" t="str">
        <f t="shared" si="74"/>
        <v/>
      </c>
      <c r="H288" s="165" t="str">
        <f t="shared" si="66"/>
        <v/>
      </c>
    </row>
    <row r="289" spans="1:9">
      <c r="A289" s="173" t="str">
        <f>IF(B289="","","Feb")</f>
        <v/>
      </c>
      <c r="B289" t="str">
        <f t="shared" si="70"/>
        <v/>
      </c>
      <c r="C289" s="165" t="str">
        <f t="shared" si="72"/>
        <v/>
      </c>
      <c r="D289" s="165" t="str">
        <f t="shared" si="71"/>
        <v/>
      </c>
      <c r="E289" s="165" t="str">
        <f t="shared" si="65"/>
        <v/>
      </c>
      <c r="F289" s="165" t="str">
        <f t="shared" si="73"/>
        <v/>
      </c>
      <c r="G289" s="165" t="str">
        <f t="shared" si="74"/>
        <v/>
      </c>
      <c r="H289" s="165" t="str">
        <f t="shared" si="66"/>
        <v/>
      </c>
    </row>
    <row r="290" spans="1:9">
      <c r="A290" s="173" t="str">
        <f>IF(B290="","","Mar")</f>
        <v/>
      </c>
      <c r="B290" t="str">
        <f t="shared" si="70"/>
        <v/>
      </c>
      <c r="C290" s="165" t="str">
        <f t="shared" si="72"/>
        <v/>
      </c>
      <c r="D290" s="165" t="str">
        <f t="shared" si="71"/>
        <v/>
      </c>
      <c r="E290" s="165" t="str">
        <f t="shared" si="65"/>
        <v/>
      </c>
      <c r="F290" s="165" t="str">
        <f t="shared" si="73"/>
        <v/>
      </c>
      <c r="G290" s="165" t="str">
        <f t="shared" si="74"/>
        <v/>
      </c>
      <c r="H290" s="165" t="str">
        <f t="shared" si="66"/>
        <v/>
      </c>
    </row>
    <row r="291" spans="1:9">
      <c r="A291" s="173" t="str">
        <f>IF(B291="","","Apr")</f>
        <v/>
      </c>
      <c r="B291" t="str">
        <f t="shared" si="70"/>
        <v/>
      </c>
      <c r="C291" s="165" t="str">
        <f t="shared" si="72"/>
        <v/>
      </c>
      <c r="D291" s="165" t="str">
        <f t="shared" si="71"/>
        <v/>
      </c>
      <c r="E291" s="165" t="str">
        <f t="shared" si="65"/>
        <v/>
      </c>
      <c r="F291" s="165" t="str">
        <f t="shared" si="73"/>
        <v/>
      </c>
      <c r="G291" s="165" t="str">
        <f t="shared" si="74"/>
        <v/>
      </c>
      <c r="H291" s="165" t="str">
        <f t="shared" si="66"/>
        <v/>
      </c>
    </row>
    <row r="292" spans="1:9">
      <c r="A292" s="173" t="str">
        <f>IF(B292="","","May")</f>
        <v/>
      </c>
      <c r="B292" t="str">
        <f t="shared" si="70"/>
        <v/>
      </c>
      <c r="C292" s="165" t="str">
        <f t="shared" si="72"/>
        <v/>
      </c>
      <c r="D292" s="165" t="str">
        <f t="shared" si="71"/>
        <v/>
      </c>
      <c r="E292" s="165" t="str">
        <f t="shared" si="65"/>
        <v/>
      </c>
      <c r="F292" s="165" t="str">
        <f t="shared" si="73"/>
        <v/>
      </c>
      <c r="G292" s="165" t="str">
        <f t="shared" si="74"/>
        <v/>
      </c>
      <c r="H292" s="165" t="str">
        <f t="shared" si="66"/>
        <v/>
      </c>
    </row>
    <row r="293" spans="1:9">
      <c r="A293" s="173" t="str">
        <f>IF(B293="","","Jun")</f>
        <v/>
      </c>
      <c r="B293" t="str">
        <f t="shared" si="70"/>
        <v/>
      </c>
      <c r="C293" s="165" t="str">
        <f t="shared" si="72"/>
        <v/>
      </c>
      <c r="D293" s="165" t="str">
        <f t="shared" si="71"/>
        <v/>
      </c>
      <c r="E293" s="165" t="str">
        <f t="shared" si="65"/>
        <v/>
      </c>
      <c r="F293" s="165" t="str">
        <f t="shared" si="73"/>
        <v/>
      </c>
      <c r="G293" s="165" t="str">
        <f t="shared" si="74"/>
        <v/>
      </c>
      <c r="H293" s="165" t="str">
        <f t="shared" si="66"/>
        <v/>
      </c>
    </row>
    <row r="294" spans="1:9">
      <c r="A294" s="173" t="str">
        <f>IF(B294="","","Jul")</f>
        <v/>
      </c>
      <c r="B294" t="str">
        <f t="shared" si="70"/>
        <v/>
      </c>
      <c r="C294" s="165" t="str">
        <f t="shared" si="72"/>
        <v/>
      </c>
      <c r="D294" s="165" t="str">
        <f t="shared" si="71"/>
        <v/>
      </c>
      <c r="E294" s="165" t="str">
        <f t="shared" si="65"/>
        <v/>
      </c>
      <c r="F294" s="165" t="str">
        <f t="shared" si="73"/>
        <v/>
      </c>
      <c r="G294" s="165" t="str">
        <f t="shared" si="74"/>
        <v/>
      </c>
      <c r="H294" s="165" t="str">
        <f t="shared" si="66"/>
        <v/>
      </c>
    </row>
    <row r="295" spans="1:9">
      <c r="A295" s="173" t="str">
        <f>IF(B295="","","Aug")</f>
        <v/>
      </c>
      <c r="B295" t="str">
        <f t="shared" si="70"/>
        <v/>
      </c>
      <c r="C295" s="165" t="str">
        <f t="shared" si="72"/>
        <v/>
      </c>
      <c r="D295" s="165" t="str">
        <f t="shared" si="71"/>
        <v/>
      </c>
      <c r="E295" s="165" t="str">
        <f t="shared" si="65"/>
        <v/>
      </c>
      <c r="F295" s="165" t="str">
        <f t="shared" si="73"/>
        <v/>
      </c>
      <c r="G295" s="165" t="str">
        <f t="shared" si="74"/>
        <v/>
      </c>
      <c r="H295" s="165" t="str">
        <f t="shared" si="66"/>
        <v/>
      </c>
      <c r="I295" s="168" t="str">
        <f>IF(B288="","","Principal")</f>
        <v/>
      </c>
    </row>
    <row r="296" spans="1:9">
      <c r="A296" s="173" t="str">
        <f>IF(B296="","","Sep")</f>
        <v/>
      </c>
      <c r="B296" t="str">
        <f t="shared" si="70"/>
        <v/>
      </c>
      <c r="C296" s="165" t="str">
        <f t="shared" si="72"/>
        <v/>
      </c>
      <c r="D296" s="165" t="str">
        <f t="shared" si="71"/>
        <v/>
      </c>
      <c r="E296" s="165" t="str">
        <f t="shared" si="65"/>
        <v/>
      </c>
      <c r="F296" s="165" t="str">
        <f t="shared" si="73"/>
        <v/>
      </c>
      <c r="G296" s="165" t="str">
        <f t="shared" si="74"/>
        <v/>
      </c>
      <c r="H296" s="165" t="str">
        <f t="shared" si="66"/>
        <v/>
      </c>
      <c r="I296" s="169" t="str">
        <f>IF(B288="","",SUM(E288:E299))</f>
        <v/>
      </c>
    </row>
    <row r="297" spans="1:9">
      <c r="A297" s="173" t="str">
        <f>IF(B297="","","Oct")</f>
        <v/>
      </c>
      <c r="B297" t="str">
        <f t="shared" si="70"/>
        <v/>
      </c>
      <c r="C297" s="165" t="str">
        <f t="shared" si="72"/>
        <v/>
      </c>
      <c r="D297" s="165" t="str">
        <f t="shared" si="71"/>
        <v/>
      </c>
      <c r="E297" s="165" t="str">
        <f t="shared" si="65"/>
        <v/>
      </c>
      <c r="F297" s="165" t="str">
        <f t="shared" si="73"/>
        <v/>
      </c>
      <c r="G297" s="165" t="str">
        <f t="shared" si="74"/>
        <v/>
      </c>
      <c r="H297" s="165" t="str">
        <f t="shared" si="66"/>
        <v/>
      </c>
      <c r="I297" s="168" t="str">
        <f>IF(B288="","","Interest")</f>
        <v/>
      </c>
    </row>
    <row r="298" spans="1:9">
      <c r="A298" s="173" t="str">
        <f>IF(B298="","","Nov")</f>
        <v/>
      </c>
      <c r="B298" t="str">
        <f t="shared" si="70"/>
        <v/>
      </c>
      <c r="C298" s="165" t="str">
        <f t="shared" si="72"/>
        <v/>
      </c>
      <c r="D298" s="165" t="str">
        <f t="shared" si="71"/>
        <v/>
      </c>
      <c r="E298" s="165" t="str">
        <f t="shared" si="65"/>
        <v/>
      </c>
      <c r="F298" s="165" t="str">
        <f t="shared" si="73"/>
        <v/>
      </c>
      <c r="G298" s="165" t="str">
        <f t="shared" si="74"/>
        <v/>
      </c>
      <c r="H298" s="165" t="str">
        <f t="shared" si="66"/>
        <v/>
      </c>
      <c r="I298" s="169" t="str">
        <f>IF(B288="","",SUM(D288:D299))</f>
        <v/>
      </c>
    </row>
    <row r="299" spans="1:9">
      <c r="A299" s="174" t="str">
        <f>IF(B299="","","Dec")</f>
        <v/>
      </c>
      <c r="B299" s="170" t="str">
        <f t="shared" si="70"/>
        <v/>
      </c>
      <c r="C299" s="171" t="str">
        <f t="shared" si="72"/>
        <v/>
      </c>
      <c r="D299" s="171" t="str">
        <f t="shared" si="71"/>
        <v/>
      </c>
      <c r="E299" s="171" t="str">
        <f t="shared" si="65"/>
        <v/>
      </c>
      <c r="F299" s="171" t="str">
        <f t="shared" si="73"/>
        <v/>
      </c>
      <c r="G299" s="171" t="str">
        <f t="shared" si="74"/>
        <v/>
      </c>
      <c r="H299" s="171" t="str">
        <f t="shared" si="66"/>
        <v/>
      </c>
      <c r="I299" s="170" t="str">
        <f>IF(B288="","","End of year 24")</f>
        <v/>
      </c>
    </row>
    <row r="300" spans="1:9">
      <c r="A300" s="173" t="str">
        <f>IF(B300="","","Jan")</f>
        <v/>
      </c>
      <c r="B300" t="str">
        <f t="shared" si="70"/>
        <v/>
      </c>
      <c r="C300" s="165" t="str">
        <f t="shared" si="72"/>
        <v/>
      </c>
      <c r="D300" s="165" t="str">
        <f t="shared" si="71"/>
        <v/>
      </c>
      <c r="E300" s="165" t="str">
        <f t="shared" si="65"/>
        <v/>
      </c>
      <c r="F300" s="165" t="str">
        <f t="shared" si="73"/>
        <v/>
      </c>
      <c r="G300" s="165" t="str">
        <f t="shared" si="74"/>
        <v/>
      </c>
      <c r="H300" s="165" t="str">
        <f t="shared" si="66"/>
        <v/>
      </c>
    </row>
    <row r="301" spans="1:9">
      <c r="A301" s="173" t="str">
        <f>IF(B301="","","Feb")</f>
        <v/>
      </c>
      <c r="B301" t="str">
        <f t="shared" si="70"/>
        <v/>
      </c>
      <c r="C301" s="165" t="str">
        <f t="shared" si="72"/>
        <v/>
      </c>
      <c r="D301" s="165" t="str">
        <f t="shared" si="71"/>
        <v/>
      </c>
      <c r="E301" s="165" t="str">
        <f t="shared" si="65"/>
        <v/>
      </c>
      <c r="F301" s="165" t="str">
        <f t="shared" si="73"/>
        <v/>
      </c>
      <c r="G301" s="165" t="str">
        <f t="shared" si="74"/>
        <v/>
      </c>
      <c r="H301" s="165" t="str">
        <f t="shared" si="66"/>
        <v/>
      </c>
    </row>
    <row r="302" spans="1:9">
      <c r="A302" s="173" t="str">
        <f>IF(B302="","","Mar")</f>
        <v/>
      </c>
      <c r="B302" t="str">
        <f t="shared" si="70"/>
        <v/>
      </c>
      <c r="C302" s="165" t="str">
        <f t="shared" ref="C302:C317" si="75">IF(B302="","",F301)</f>
        <v/>
      </c>
      <c r="D302" s="165" t="str">
        <f t="shared" si="71"/>
        <v/>
      </c>
      <c r="E302" s="165" t="str">
        <f t="shared" si="65"/>
        <v/>
      </c>
      <c r="F302" s="165" t="str">
        <f t="shared" ref="F302:F317" si="76">IF(B302="","",C302-E302)</f>
        <v/>
      </c>
      <c r="G302" s="165" t="str">
        <f t="shared" ref="G302:G317" si="77">IF(B302="","",G301+E302)</f>
        <v/>
      </c>
      <c r="H302" s="165" t="str">
        <f t="shared" si="66"/>
        <v/>
      </c>
    </row>
    <row r="303" spans="1:9">
      <c r="A303" s="173" t="str">
        <f>IF(B303="","","Apr")</f>
        <v/>
      </c>
      <c r="B303" t="str">
        <f t="shared" si="70"/>
        <v/>
      </c>
      <c r="C303" s="165" t="str">
        <f t="shared" si="75"/>
        <v/>
      </c>
      <c r="D303" s="165" t="str">
        <f t="shared" si="71"/>
        <v/>
      </c>
      <c r="E303" s="165" t="str">
        <f t="shared" si="65"/>
        <v/>
      </c>
      <c r="F303" s="165" t="str">
        <f t="shared" si="76"/>
        <v/>
      </c>
      <c r="G303" s="165" t="str">
        <f t="shared" si="77"/>
        <v/>
      </c>
      <c r="H303" s="165" t="str">
        <f t="shared" si="66"/>
        <v/>
      </c>
    </row>
    <row r="304" spans="1:9">
      <c r="A304" s="173" t="str">
        <f>IF(B304="","","May")</f>
        <v/>
      </c>
      <c r="B304" t="str">
        <f t="shared" si="70"/>
        <v/>
      </c>
      <c r="C304" s="165" t="str">
        <f t="shared" si="75"/>
        <v/>
      </c>
      <c r="D304" s="165" t="str">
        <f t="shared" si="71"/>
        <v/>
      </c>
      <c r="E304" s="165" t="str">
        <f t="shared" si="65"/>
        <v/>
      </c>
      <c r="F304" s="165" t="str">
        <f t="shared" si="76"/>
        <v/>
      </c>
      <c r="G304" s="165" t="str">
        <f t="shared" si="77"/>
        <v/>
      </c>
      <c r="H304" s="165" t="str">
        <f t="shared" si="66"/>
        <v/>
      </c>
    </row>
    <row r="305" spans="1:9">
      <c r="A305" s="173" t="str">
        <f>IF(B305="","","Jun")</f>
        <v/>
      </c>
      <c r="B305" t="str">
        <f t="shared" si="70"/>
        <v/>
      </c>
      <c r="C305" s="165" t="str">
        <f t="shared" si="75"/>
        <v/>
      </c>
      <c r="D305" s="165" t="str">
        <f t="shared" si="71"/>
        <v/>
      </c>
      <c r="E305" s="165" t="str">
        <f t="shared" si="65"/>
        <v/>
      </c>
      <c r="F305" s="165" t="str">
        <f t="shared" si="76"/>
        <v/>
      </c>
      <c r="G305" s="165" t="str">
        <f t="shared" si="77"/>
        <v/>
      </c>
      <c r="H305" s="165" t="str">
        <f t="shared" si="66"/>
        <v/>
      </c>
    </row>
    <row r="306" spans="1:9">
      <c r="A306" s="173" t="str">
        <f>IF(B306="","","Jul")</f>
        <v/>
      </c>
      <c r="B306" t="str">
        <f t="shared" si="70"/>
        <v/>
      </c>
      <c r="C306" s="165" t="str">
        <f t="shared" si="75"/>
        <v/>
      </c>
      <c r="D306" s="165" t="str">
        <f t="shared" si="71"/>
        <v/>
      </c>
      <c r="E306" s="165" t="str">
        <f t="shared" si="65"/>
        <v/>
      </c>
      <c r="F306" s="165" t="str">
        <f t="shared" si="76"/>
        <v/>
      </c>
      <c r="G306" s="165" t="str">
        <f t="shared" si="77"/>
        <v/>
      </c>
      <c r="H306" s="165" t="str">
        <f t="shared" si="66"/>
        <v/>
      </c>
    </row>
    <row r="307" spans="1:9">
      <c r="A307" s="173" t="str">
        <f>IF(B307="","","Aug")</f>
        <v/>
      </c>
      <c r="B307" t="str">
        <f t="shared" si="70"/>
        <v/>
      </c>
      <c r="C307" s="165" t="str">
        <f t="shared" si="75"/>
        <v/>
      </c>
      <c r="D307" s="165" t="str">
        <f t="shared" si="71"/>
        <v/>
      </c>
      <c r="E307" s="165" t="str">
        <f t="shared" si="65"/>
        <v/>
      </c>
      <c r="F307" s="165" t="str">
        <f t="shared" si="76"/>
        <v/>
      </c>
      <c r="G307" s="165" t="str">
        <f t="shared" si="77"/>
        <v/>
      </c>
      <c r="H307" s="165" t="str">
        <f t="shared" si="66"/>
        <v/>
      </c>
      <c r="I307" s="168" t="str">
        <f>IF(B300="","","Principal")</f>
        <v/>
      </c>
    </row>
    <row r="308" spans="1:9">
      <c r="A308" s="173" t="str">
        <f>IF(B308="","","Sep")</f>
        <v/>
      </c>
      <c r="B308" t="str">
        <f t="shared" si="70"/>
        <v/>
      </c>
      <c r="C308" s="165" t="str">
        <f t="shared" si="75"/>
        <v/>
      </c>
      <c r="D308" s="165" t="str">
        <f t="shared" si="71"/>
        <v/>
      </c>
      <c r="E308" s="165" t="str">
        <f t="shared" si="65"/>
        <v/>
      </c>
      <c r="F308" s="165" t="str">
        <f t="shared" si="76"/>
        <v/>
      </c>
      <c r="G308" s="165" t="str">
        <f t="shared" si="77"/>
        <v/>
      </c>
      <c r="H308" s="165" t="str">
        <f t="shared" si="66"/>
        <v/>
      </c>
      <c r="I308" s="169" t="str">
        <f>IF(B300="","",SUM(E300:E311))</f>
        <v/>
      </c>
    </row>
    <row r="309" spans="1:9">
      <c r="A309" s="173" t="str">
        <f>IF(B309="","","Oct")</f>
        <v/>
      </c>
      <c r="B309" t="str">
        <f t="shared" si="70"/>
        <v/>
      </c>
      <c r="C309" s="165" t="str">
        <f t="shared" si="75"/>
        <v/>
      </c>
      <c r="D309" s="165" t="str">
        <f t="shared" si="71"/>
        <v/>
      </c>
      <c r="E309" s="165" t="str">
        <f t="shared" si="65"/>
        <v/>
      </c>
      <c r="F309" s="165" t="str">
        <f t="shared" si="76"/>
        <v/>
      </c>
      <c r="G309" s="165" t="str">
        <f t="shared" si="77"/>
        <v/>
      </c>
      <c r="H309" s="165" t="str">
        <f t="shared" si="66"/>
        <v/>
      </c>
      <c r="I309" s="168" t="str">
        <f>IF(B300="","","Interest")</f>
        <v/>
      </c>
    </row>
    <row r="310" spans="1:9">
      <c r="A310" s="173" t="str">
        <f>IF(B310="","","Nov")</f>
        <v/>
      </c>
      <c r="B310" t="str">
        <f t="shared" si="70"/>
        <v/>
      </c>
      <c r="C310" s="165" t="str">
        <f t="shared" si="75"/>
        <v/>
      </c>
      <c r="D310" s="165" t="str">
        <f t="shared" si="71"/>
        <v/>
      </c>
      <c r="E310" s="165" t="str">
        <f t="shared" si="65"/>
        <v/>
      </c>
      <c r="F310" s="165" t="str">
        <f t="shared" si="76"/>
        <v/>
      </c>
      <c r="G310" s="165" t="str">
        <f t="shared" si="77"/>
        <v/>
      </c>
      <c r="H310" s="165" t="str">
        <f t="shared" si="66"/>
        <v/>
      </c>
      <c r="I310" s="169" t="str">
        <f>IF(B300="","",SUM(D300:D311))</f>
        <v/>
      </c>
    </row>
    <row r="311" spans="1:9">
      <c r="A311" s="174" t="str">
        <f>IF(B311="","","Dec")</f>
        <v/>
      </c>
      <c r="B311" s="170" t="str">
        <f t="shared" si="70"/>
        <v/>
      </c>
      <c r="C311" s="171" t="str">
        <f t="shared" si="75"/>
        <v/>
      </c>
      <c r="D311" s="171" t="str">
        <f t="shared" si="71"/>
        <v/>
      </c>
      <c r="E311" s="171" t="str">
        <f t="shared" si="65"/>
        <v/>
      </c>
      <c r="F311" s="171" t="str">
        <f t="shared" si="76"/>
        <v/>
      </c>
      <c r="G311" s="171" t="str">
        <f t="shared" si="77"/>
        <v/>
      </c>
      <c r="H311" s="171" t="str">
        <f t="shared" si="66"/>
        <v/>
      </c>
      <c r="I311" s="170" t="str">
        <f>IF(B300="","","End of year 25")</f>
        <v/>
      </c>
    </row>
    <row r="312" spans="1:9">
      <c r="A312" s="173" t="str">
        <f>IF(B312="","","Jan")</f>
        <v/>
      </c>
      <c r="B312" t="str">
        <f t="shared" si="70"/>
        <v/>
      </c>
      <c r="C312" s="165" t="str">
        <f t="shared" si="75"/>
        <v/>
      </c>
      <c r="D312" s="165" t="str">
        <f t="shared" si="71"/>
        <v/>
      </c>
      <c r="E312" s="165" t="str">
        <f t="shared" si="65"/>
        <v/>
      </c>
      <c r="F312" s="165" t="str">
        <f t="shared" si="76"/>
        <v/>
      </c>
      <c r="G312" s="165" t="str">
        <f t="shared" si="77"/>
        <v/>
      </c>
      <c r="H312" s="165" t="str">
        <f t="shared" si="66"/>
        <v/>
      </c>
    </row>
    <row r="313" spans="1:9">
      <c r="A313" s="173" t="str">
        <f>IF(B313="","","Feb")</f>
        <v/>
      </c>
      <c r="B313" t="str">
        <f t="shared" si="70"/>
        <v/>
      </c>
      <c r="C313" s="165" t="str">
        <f t="shared" si="75"/>
        <v/>
      </c>
      <c r="D313" s="165" t="str">
        <f t="shared" si="71"/>
        <v/>
      </c>
      <c r="E313" s="165" t="str">
        <f t="shared" si="65"/>
        <v/>
      </c>
      <c r="F313" s="165" t="str">
        <f t="shared" si="76"/>
        <v/>
      </c>
      <c r="G313" s="165" t="str">
        <f t="shared" si="77"/>
        <v/>
      </c>
      <c r="H313" s="165" t="str">
        <f t="shared" si="66"/>
        <v/>
      </c>
    </row>
    <row r="314" spans="1:9">
      <c r="A314" s="173" t="str">
        <f>IF(B314="","","Mar")</f>
        <v/>
      </c>
      <c r="B314" t="str">
        <f t="shared" si="70"/>
        <v/>
      </c>
      <c r="C314" s="165" t="str">
        <f t="shared" si="75"/>
        <v/>
      </c>
      <c r="D314" s="165" t="str">
        <f t="shared" si="71"/>
        <v/>
      </c>
      <c r="E314" s="165" t="str">
        <f t="shared" si="65"/>
        <v/>
      </c>
      <c r="F314" s="165" t="str">
        <f t="shared" si="76"/>
        <v/>
      </c>
      <c r="G314" s="165" t="str">
        <f t="shared" si="77"/>
        <v/>
      </c>
      <c r="H314" s="165" t="str">
        <f t="shared" si="66"/>
        <v/>
      </c>
    </row>
    <row r="315" spans="1:9">
      <c r="A315" s="173" t="str">
        <f>IF(B315="","","Apr")</f>
        <v/>
      </c>
      <c r="B315" t="str">
        <f t="shared" si="70"/>
        <v/>
      </c>
      <c r="C315" s="165" t="str">
        <f t="shared" si="75"/>
        <v/>
      </c>
      <c r="D315" s="165" t="str">
        <f t="shared" si="71"/>
        <v/>
      </c>
      <c r="E315" s="165" t="str">
        <f t="shared" si="65"/>
        <v/>
      </c>
      <c r="F315" s="165" t="str">
        <f t="shared" si="76"/>
        <v/>
      </c>
      <c r="G315" s="165" t="str">
        <f t="shared" si="77"/>
        <v/>
      </c>
      <c r="H315" s="165" t="str">
        <f t="shared" si="66"/>
        <v/>
      </c>
    </row>
    <row r="316" spans="1:9">
      <c r="A316" s="173" t="str">
        <f>IF(B316="","","May")</f>
        <v/>
      </c>
      <c r="B316" t="str">
        <f t="shared" si="70"/>
        <v/>
      </c>
      <c r="C316" s="165" t="str">
        <f t="shared" si="75"/>
        <v/>
      </c>
      <c r="D316" s="165" t="str">
        <f t="shared" si="71"/>
        <v/>
      </c>
      <c r="E316" s="165" t="str">
        <f t="shared" si="65"/>
        <v/>
      </c>
      <c r="F316" s="165" t="str">
        <f t="shared" si="76"/>
        <v/>
      </c>
      <c r="G316" s="165" t="str">
        <f t="shared" si="77"/>
        <v/>
      </c>
      <c r="H316" s="165" t="str">
        <f t="shared" si="66"/>
        <v/>
      </c>
    </row>
    <row r="317" spans="1:9">
      <c r="A317" s="173" t="str">
        <f>IF(B317="","","Jun")</f>
        <v/>
      </c>
      <c r="B317" t="str">
        <f t="shared" si="70"/>
        <v/>
      </c>
      <c r="C317" s="165" t="str">
        <f t="shared" si="75"/>
        <v/>
      </c>
      <c r="D317" s="165" t="str">
        <f t="shared" si="71"/>
        <v/>
      </c>
      <c r="E317" s="165" t="str">
        <f t="shared" si="65"/>
        <v/>
      </c>
      <c r="F317" s="165" t="str">
        <f t="shared" si="76"/>
        <v/>
      </c>
      <c r="G317" s="165" t="str">
        <f t="shared" si="77"/>
        <v/>
      </c>
      <c r="H317" s="165" t="str">
        <f t="shared" si="66"/>
        <v/>
      </c>
    </row>
    <row r="318" spans="1:9">
      <c r="A318" s="173" t="str">
        <f>IF(B318="","","Jul")</f>
        <v/>
      </c>
      <c r="B318" t="str">
        <f t="shared" si="70"/>
        <v/>
      </c>
      <c r="C318" s="165" t="str">
        <f t="shared" ref="C318:C333" si="78">IF(B318="","",F317)</f>
        <v/>
      </c>
      <c r="D318" s="165" t="str">
        <f t="shared" si="71"/>
        <v/>
      </c>
      <c r="E318" s="165" t="str">
        <f t="shared" si="65"/>
        <v/>
      </c>
      <c r="F318" s="165" t="str">
        <f t="shared" ref="F318:F333" si="79">IF(B318="","",C318-E318)</f>
        <v/>
      </c>
      <c r="G318" s="165" t="str">
        <f t="shared" ref="G318:G333" si="80">IF(B318="","",G317+E318)</f>
        <v/>
      </c>
      <c r="H318" s="165" t="str">
        <f t="shared" si="66"/>
        <v/>
      </c>
    </row>
    <row r="319" spans="1:9">
      <c r="A319" s="173" t="str">
        <f>IF(B319="","","Aug")</f>
        <v/>
      </c>
      <c r="B319" t="str">
        <f t="shared" si="70"/>
        <v/>
      </c>
      <c r="C319" s="165" t="str">
        <f t="shared" si="78"/>
        <v/>
      </c>
      <c r="D319" s="165" t="str">
        <f t="shared" si="71"/>
        <v/>
      </c>
      <c r="E319" s="165" t="str">
        <f t="shared" si="65"/>
        <v/>
      </c>
      <c r="F319" s="165" t="str">
        <f t="shared" si="79"/>
        <v/>
      </c>
      <c r="G319" s="165" t="str">
        <f t="shared" si="80"/>
        <v/>
      </c>
      <c r="H319" s="165" t="str">
        <f t="shared" si="66"/>
        <v/>
      </c>
      <c r="I319" s="168" t="str">
        <f>IF(B312="","","Principal")</f>
        <v/>
      </c>
    </row>
    <row r="320" spans="1:9">
      <c r="A320" s="173" t="str">
        <f>IF(B320="","","Sep")</f>
        <v/>
      </c>
      <c r="B320" t="str">
        <f t="shared" si="70"/>
        <v/>
      </c>
      <c r="C320" s="165" t="str">
        <f t="shared" si="78"/>
        <v/>
      </c>
      <c r="D320" s="165" t="str">
        <f t="shared" si="71"/>
        <v/>
      </c>
      <c r="E320" s="165" t="str">
        <f t="shared" si="65"/>
        <v/>
      </c>
      <c r="F320" s="165" t="str">
        <f t="shared" si="79"/>
        <v/>
      </c>
      <c r="G320" s="165" t="str">
        <f t="shared" si="80"/>
        <v/>
      </c>
      <c r="H320" s="165" t="str">
        <f t="shared" si="66"/>
        <v/>
      </c>
      <c r="I320" s="169" t="str">
        <f>IF(B312="","",SUM(E312:E323))</f>
        <v/>
      </c>
    </row>
    <row r="321" spans="1:9">
      <c r="A321" s="173" t="str">
        <f>IF(B321="","","Oct")</f>
        <v/>
      </c>
      <c r="B321" t="str">
        <f t="shared" si="70"/>
        <v/>
      </c>
      <c r="C321" s="165" t="str">
        <f t="shared" si="78"/>
        <v/>
      </c>
      <c r="D321" s="165" t="str">
        <f t="shared" si="71"/>
        <v/>
      </c>
      <c r="E321" s="165" t="str">
        <f t="shared" si="65"/>
        <v/>
      </c>
      <c r="F321" s="165" t="str">
        <f t="shared" si="79"/>
        <v/>
      </c>
      <c r="G321" s="165" t="str">
        <f t="shared" si="80"/>
        <v/>
      </c>
      <c r="H321" s="165" t="str">
        <f t="shared" si="66"/>
        <v/>
      </c>
      <c r="I321" s="168" t="str">
        <f>IF(B312="","","Interest")</f>
        <v/>
      </c>
    </row>
    <row r="322" spans="1:9">
      <c r="A322" s="173" t="str">
        <f>IF(B322="","","Nov")</f>
        <v/>
      </c>
      <c r="B322" t="str">
        <f t="shared" si="70"/>
        <v/>
      </c>
      <c r="C322" s="165" t="str">
        <f t="shared" si="78"/>
        <v/>
      </c>
      <c r="D322" s="165" t="str">
        <f t="shared" si="71"/>
        <v/>
      </c>
      <c r="E322" s="165" t="str">
        <f t="shared" si="65"/>
        <v/>
      </c>
      <c r="F322" s="165" t="str">
        <f t="shared" si="79"/>
        <v/>
      </c>
      <c r="G322" s="165" t="str">
        <f t="shared" si="80"/>
        <v/>
      </c>
      <c r="H322" s="165" t="str">
        <f t="shared" si="66"/>
        <v/>
      </c>
      <c r="I322" s="169" t="str">
        <f>IF(B312="","",SUM(D312:D323))</f>
        <v/>
      </c>
    </row>
    <row r="323" spans="1:9">
      <c r="A323" s="174" t="str">
        <f>IF(B323="","","Dec")</f>
        <v/>
      </c>
      <c r="B323" s="170" t="str">
        <f t="shared" si="70"/>
        <v/>
      </c>
      <c r="C323" s="171" t="str">
        <f t="shared" si="78"/>
        <v/>
      </c>
      <c r="D323" s="171" t="str">
        <f t="shared" si="71"/>
        <v/>
      </c>
      <c r="E323" s="171" t="str">
        <f t="shared" si="65"/>
        <v/>
      </c>
      <c r="F323" s="171" t="str">
        <f t="shared" si="79"/>
        <v/>
      </c>
      <c r="G323" s="171" t="str">
        <f t="shared" si="80"/>
        <v/>
      </c>
      <c r="H323" s="171" t="str">
        <f t="shared" si="66"/>
        <v/>
      </c>
      <c r="I323" s="170" t="str">
        <f>IF(B312="","","End of year 26")</f>
        <v/>
      </c>
    </row>
    <row r="324" spans="1:9">
      <c r="A324" s="173" t="str">
        <f>IF(B324="","","Jan")</f>
        <v/>
      </c>
      <c r="B324" t="str">
        <f t="shared" si="70"/>
        <v/>
      </c>
      <c r="C324" s="165" t="str">
        <f t="shared" si="78"/>
        <v/>
      </c>
      <c r="D324" s="165" t="str">
        <f t="shared" si="71"/>
        <v/>
      </c>
      <c r="E324" s="165" t="str">
        <f t="shared" si="65"/>
        <v/>
      </c>
      <c r="F324" s="165" t="str">
        <f t="shared" si="79"/>
        <v/>
      </c>
      <c r="G324" s="165" t="str">
        <f t="shared" si="80"/>
        <v/>
      </c>
      <c r="H324" s="165" t="str">
        <f t="shared" si="66"/>
        <v/>
      </c>
    </row>
    <row r="325" spans="1:9">
      <c r="A325" s="173" t="str">
        <f>IF(B325="","","Feb")</f>
        <v/>
      </c>
      <c r="B325" t="str">
        <f t="shared" si="70"/>
        <v/>
      </c>
      <c r="C325" s="165" t="str">
        <f t="shared" si="78"/>
        <v/>
      </c>
      <c r="D325" s="165" t="str">
        <f t="shared" si="71"/>
        <v/>
      </c>
      <c r="E325" s="165" t="str">
        <f t="shared" si="65"/>
        <v/>
      </c>
      <c r="F325" s="165" t="str">
        <f t="shared" si="79"/>
        <v/>
      </c>
      <c r="G325" s="165" t="str">
        <f t="shared" si="80"/>
        <v/>
      </c>
      <c r="H325" s="165" t="str">
        <f t="shared" si="66"/>
        <v/>
      </c>
    </row>
    <row r="326" spans="1:9">
      <c r="A326" s="173" t="str">
        <f>IF(B326="","","Mar")</f>
        <v/>
      </c>
      <c r="B326" t="str">
        <f t="shared" si="70"/>
        <v/>
      </c>
      <c r="C326" s="165" t="str">
        <f t="shared" si="78"/>
        <v/>
      </c>
      <c r="D326" s="165" t="str">
        <f t="shared" si="71"/>
        <v/>
      </c>
      <c r="E326" s="165" t="str">
        <f t="shared" si="65"/>
        <v/>
      </c>
      <c r="F326" s="165" t="str">
        <f t="shared" si="79"/>
        <v/>
      </c>
      <c r="G326" s="165" t="str">
        <f t="shared" si="80"/>
        <v/>
      </c>
      <c r="H326" s="165" t="str">
        <f t="shared" si="66"/>
        <v/>
      </c>
    </row>
    <row r="327" spans="1:9">
      <c r="A327" s="173" t="str">
        <f>IF(B327="","","Apr")</f>
        <v/>
      </c>
      <c r="B327" t="str">
        <f t="shared" si="70"/>
        <v/>
      </c>
      <c r="C327" s="165" t="str">
        <f t="shared" si="78"/>
        <v/>
      </c>
      <c r="D327" s="165" t="str">
        <f t="shared" si="71"/>
        <v/>
      </c>
      <c r="E327" s="165" t="str">
        <f t="shared" si="65"/>
        <v/>
      </c>
      <c r="F327" s="165" t="str">
        <f t="shared" si="79"/>
        <v/>
      </c>
      <c r="G327" s="165" t="str">
        <f t="shared" si="80"/>
        <v/>
      </c>
      <c r="H327" s="165" t="str">
        <f t="shared" si="66"/>
        <v/>
      </c>
    </row>
    <row r="328" spans="1:9">
      <c r="A328" s="173" t="str">
        <f>IF(B328="","","May")</f>
        <v/>
      </c>
      <c r="B328" t="str">
        <f t="shared" si="70"/>
        <v/>
      </c>
      <c r="C328" s="165" t="str">
        <f t="shared" si="78"/>
        <v/>
      </c>
      <c r="D328" s="165" t="str">
        <f t="shared" si="71"/>
        <v/>
      </c>
      <c r="E328" s="165" t="str">
        <f t="shared" si="65"/>
        <v/>
      </c>
      <c r="F328" s="165" t="str">
        <f t="shared" si="79"/>
        <v/>
      </c>
      <c r="G328" s="165" t="str">
        <f t="shared" si="80"/>
        <v/>
      </c>
      <c r="H328" s="165" t="str">
        <f t="shared" si="66"/>
        <v/>
      </c>
    </row>
    <row r="329" spans="1:9">
      <c r="A329" s="173" t="str">
        <f>IF(B329="","","Jun")</f>
        <v/>
      </c>
      <c r="B329" t="str">
        <f t="shared" si="70"/>
        <v/>
      </c>
      <c r="C329" s="165" t="str">
        <f t="shared" si="78"/>
        <v/>
      </c>
      <c r="D329" s="165" t="str">
        <f t="shared" si="71"/>
        <v/>
      </c>
      <c r="E329" s="165" t="str">
        <f t="shared" si="65"/>
        <v/>
      </c>
      <c r="F329" s="165" t="str">
        <f t="shared" si="79"/>
        <v/>
      </c>
      <c r="G329" s="165" t="str">
        <f t="shared" si="80"/>
        <v/>
      </c>
      <c r="H329" s="165" t="str">
        <f t="shared" si="66"/>
        <v/>
      </c>
    </row>
    <row r="330" spans="1:9">
      <c r="A330" s="173" t="str">
        <f>IF(B330="","","Jul")</f>
        <v/>
      </c>
      <c r="B330" t="str">
        <f t="shared" si="70"/>
        <v/>
      </c>
      <c r="C330" s="165" t="str">
        <f t="shared" si="78"/>
        <v/>
      </c>
      <c r="D330" s="165" t="str">
        <f t="shared" si="71"/>
        <v/>
      </c>
      <c r="E330" s="165" t="str">
        <f t="shared" si="65"/>
        <v/>
      </c>
      <c r="F330" s="165" t="str">
        <f t="shared" si="79"/>
        <v/>
      </c>
      <c r="G330" s="165" t="str">
        <f t="shared" si="80"/>
        <v/>
      </c>
      <c r="H330" s="165" t="str">
        <f t="shared" si="66"/>
        <v/>
      </c>
    </row>
    <row r="331" spans="1:9">
      <c r="A331" s="173" t="str">
        <f>IF(B331="","","Aug")</f>
        <v/>
      </c>
      <c r="B331" t="str">
        <f t="shared" si="70"/>
        <v/>
      </c>
      <c r="C331" s="165" t="str">
        <f t="shared" si="78"/>
        <v/>
      </c>
      <c r="D331" s="165" t="str">
        <f t="shared" si="71"/>
        <v/>
      </c>
      <c r="E331" s="165" t="str">
        <f t="shared" si="65"/>
        <v/>
      </c>
      <c r="F331" s="165" t="str">
        <f t="shared" si="79"/>
        <v/>
      </c>
      <c r="G331" s="165" t="str">
        <f t="shared" si="80"/>
        <v/>
      </c>
      <c r="H331" s="165" t="str">
        <f t="shared" si="66"/>
        <v/>
      </c>
      <c r="I331" s="168" t="str">
        <f>IF(B324="","","Principal")</f>
        <v/>
      </c>
    </row>
    <row r="332" spans="1:9">
      <c r="A332" s="173" t="str">
        <f>IF(B332="","","Sep")</f>
        <v/>
      </c>
      <c r="B332" t="str">
        <f t="shared" si="70"/>
        <v/>
      </c>
      <c r="C332" s="165" t="str">
        <f t="shared" si="78"/>
        <v/>
      </c>
      <c r="D332" s="165" t="str">
        <f t="shared" si="71"/>
        <v/>
      </c>
      <c r="E332" s="165" t="str">
        <f t="shared" si="65"/>
        <v/>
      </c>
      <c r="F332" s="165" t="str">
        <f t="shared" si="79"/>
        <v/>
      </c>
      <c r="G332" s="165" t="str">
        <f t="shared" si="80"/>
        <v/>
      </c>
      <c r="H332" s="165" t="str">
        <f t="shared" si="66"/>
        <v/>
      </c>
      <c r="I332" s="169" t="str">
        <f>IF(B324="","",SUM(E324:E335))</f>
        <v/>
      </c>
    </row>
    <row r="333" spans="1:9">
      <c r="A333" s="173" t="str">
        <f>IF(B333="","","Oct")</f>
        <v/>
      </c>
      <c r="B333" t="str">
        <f t="shared" si="70"/>
        <v/>
      </c>
      <c r="C333" s="165" t="str">
        <f t="shared" si="78"/>
        <v/>
      </c>
      <c r="D333" s="165" t="str">
        <f t="shared" si="71"/>
        <v/>
      </c>
      <c r="E333" s="165" t="str">
        <f t="shared" ref="E333:E383" si="81">IF(B333="","",IF(C333+D333&lt;($G$3+$C$7),(C333+D333)-D333,($G$3+$C$7)-D333))</f>
        <v/>
      </c>
      <c r="F333" s="165" t="str">
        <f t="shared" si="79"/>
        <v/>
      </c>
      <c r="G333" s="165" t="str">
        <f t="shared" si="80"/>
        <v/>
      </c>
      <c r="H333" s="165" t="str">
        <f t="shared" ref="H333:H348" si="82">IF(B333="","",H332+D333)</f>
        <v/>
      </c>
      <c r="I333" s="168" t="str">
        <f>IF(B324="","","Interest")</f>
        <v/>
      </c>
    </row>
    <row r="334" spans="1:9">
      <c r="A334" s="173" t="str">
        <f>IF(B334="","","Nov")</f>
        <v/>
      </c>
      <c r="B334" t="str">
        <f t="shared" si="70"/>
        <v/>
      </c>
      <c r="C334" s="165" t="str">
        <f t="shared" ref="C334:C349" si="83">IF(B334="","",F333)</f>
        <v/>
      </c>
      <c r="D334" s="165" t="str">
        <f t="shared" si="71"/>
        <v/>
      </c>
      <c r="E334" s="165" t="str">
        <f t="shared" si="81"/>
        <v/>
      </c>
      <c r="F334" s="165" t="str">
        <f t="shared" ref="F334:F349" si="84">IF(B334="","",C334-E334)</f>
        <v/>
      </c>
      <c r="G334" s="165" t="str">
        <f t="shared" ref="G334:G349" si="85">IF(B334="","",G333+E334)</f>
        <v/>
      </c>
      <c r="H334" s="165" t="str">
        <f t="shared" si="82"/>
        <v/>
      </c>
      <c r="I334" s="169" t="str">
        <f>IF(B324="","",SUM(D324:D335))</f>
        <v/>
      </c>
    </row>
    <row r="335" spans="1:9">
      <c r="A335" s="174" t="str">
        <f>IF(B335="","","Dec")</f>
        <v/>
      </c>
      <c r="B335" s="170" t="str">
        <f t="shared" si="70"/>
        <v/>
      </c>
      <c r="C335" s="171" t="str">
        <f t="shared" si="83"/>
        <v/>
      </c>
      <c r="D335" s="171" t="str">
        <f t="shared" si="71"/>
        <v/>
      </c>
      <c r="E335" s="171" t="str">
        <f t="shared" si="81"/>
        <v/>
      </c>
      <c r="F335" s="171" t="str">
        <f t="shared" si="84"/>
        <v/>
      </c>
      <c r="G335" s="171" t="str">
        <f t="shared" si="85"/>
        <v/>
      </c>
      <c r="H335" s="171" t="str">
        <f t="shared" si="82"/>
        <v/>
      </c>
      <c r="I335" s="170" t="str">
        <f>IF(B324="","","End of year 27")</f>
        <v/>
      </c>
    </row>
    <row r="336" spans="1:9">
      <c r="A336" s="173" t="str">
        <f>IF(B336="","","Jan")</f>
        <v/>
      </c>
      <c r="B336" t="str">
        <f t="shared" si="70"/>
        <v/>
      </c>
      <c r="C336" s="165" t="str">
        <f t="shared" si="83"/>
        <v/>
      </c>
      <c r="D336" s="165" t="str">
        <f t="shared" si="71"/>
        <v/>
      </c>
      <c r="E336" s="165" t="str">
        <f t="shared" si="81"/>
        <v/>
      </c>
      <c r="F336" s="165" t="str">
        <f t="shared" si="84"/>
        <v/>
      </c>
      <c r="G336" s="165" t="str">
        <f t="shared" si="85"/>
        <v/>
      </c>
      <c r="H336" s="165" t="str">
        <f t="shared" si="82"/>
        <v/>
      </c>
    </row>
    <row r="337" spans="1:9">
      <c r="A337" s="173" t="str">
        <f>IF(B337="","","Feb")</f>
        <v/>
      </c>
      <c r="B337" t="str">
        <f t="shared" si="70"/>
        <v/>
      </c>
      <c r="C337" s="165" t="str">
        <f t="shared" si="83"/>
        <v/>
      </c>
      <c r="D337" s="165" t="str">
        <f t="shared" si="71"/>
        <v/>
      </c>
      <c r="E337" s="165" t="str">
        <f t="shared" si="81"/>
        <v/>
      </c>
      <c r="F337" s="165" t="str">
        <f t="shared" si="84"/>
        <v/>
      </c>
      <c r="G337" s="165" t="str">
        <f t="shared" si="85"/>
        <v/>
      </c>
      <c r="H337" s="165" t="str">
        <f t="shared" si="82"/>
        <v/>
      </c>
    </row>
    <row r="338" spans="1:9">
      <c r="A338" s="173" t="str">
        <f>IF(B338="","","Mar")</f>
        <v/>
      </c>
      <c r="B338" t="str">
        <f t="shared" si="70"/>
        <v/>
      </c>
      <c r="C338" s="165" t="str">
        <f t="shared" si="83"/>
        <v/>
      </c>
      <c r="D338" s="165" t="str">
        <f t="shared" si="71"/>
        <v/>
      </c>
      <c r="E338" s="165" t="str">
        <f t="shared" si="81"/>
        <v/>
      </c>
      <c r="F338" s="165" t="str">
        <f t="shared" si="84"/>
        <v/>
      </c>
      <c r="G338" s="165" t="str">
        <f t="shared" si="85"/>
        <v/>
      </c>
      <c r="H338" s="165" t="str">
        <f t="shared" si="82"/>
        <v/>
      </c>
    </row>
    <row r="339" spans="1:9">
      <c r="A339" s="173" t="str">
        <f>IF(B339="","","Apr")</f>
        <v/>
      </c>
      <c r="B339" t="str">
        <f t="shared" si="70"/>
        <v/>
      </c>
      <c r="C339" s="165" t="str">
        <f t="shared" si="83"/>
        <v/>
      </c>
      <c r="D339" s="165" t="str">
        <f t="shared" si="71"/>
        <v/>
      </c>
      <c r="E339" s="165" t="str">
        <f t="shared" si="81"/>
        <v/>
      </c>
      <c r="F339" s="165" t="str">
        <f t="shared" si="84"/>
        <v/>
      </c>
      <c r="G339" s="165" t="str">
        <f t="shared" si="85"/>
        <v/>
      </c>
      <c r="H339" s="165" t="str">
        <f t="shared" si="82"/>
        <v/>
      </c>
    </row>
    <row r="340" spans="1:9">
      <c r="A340" s="173" t="str">
        <f>IF(B340="","","May")</f>
        <v/>
      </c>
      <c r="B340" t="str">
        <f t="shared" si="70"/>
        <v/>
      </c>
      <c r="C340" s="165" t="str">
        <f t="shared" si="83"/>
        <v/>
      </c>
      <c r="D340" s="165" t="str">
        <f t="shared" si="71"/>
        <v/>
      </c>
      <c r="E340" s="165" t="str">
        <f t="shared" si="81"/>
        <v/>
      </c>
      <c r="F340" s="165" t="str">
        <f t="shared" si="84"/>
        <v/>
      </c>
      <c r="G340" s="165" t="str">
        <f t="shared" si="85"/>
        <v/>
      </c>
      <c r="H340" s="165" t="str">
        <f t="shared" si="82"/>
        <v/>
      </c>
    </row>
    <row r="341" spans="1:9">
      <c r="A341" s="173" t="str">
        <f>IF(B341="","","Jun")</f>
        <v/>
      </c>
      <c r="B341" t="str">
        <f t="shared" si="70"/>
        <v/>
      </c>
      <c r="C341" s="165" t="str">
        <f t="shared" si="83"/>
        <v/>
      </c>
      <c r="D341" s="165" t="str">
        <f t="shared" si="71"/>
        <v/>
      </c>
      <c r="E341" s="165" t="str">
        <f t="shared" si="81"/>
        <v/>
      </c>
      <c r="F341" s="165" t="str">
        <f t="shared" si="84"/>
        <v/>
      </c>
      <c r="G341" s="165" t="str">
        <f t="shared" si="85"/>
        <v/>
      </c>
      <c r="H341" s="165" t="str">
        <f t="shared" si="82"/>
        <v/>
      </c>
    </row>
    <row r="342" spans="1:9">
      <c r="A342" s="173" t="str">
        <f>IF(B342="","","Jul")</f>
        <v/>
      </c>
      <c r="B342" t="str">
        <f t="shared" si="70"/>
        <v/>
      </c>
      <c r="C342" s="165" t="str">
        <f t="shared" si="83"/>
        <v/>
      </c>
      <c r="D342" s="165" t="str">
        <f t="shared" si="71"/>
        <v/>
      </c>
      <c r="E342" s="165" t="str">
        <f t="shared" si="81"/>
        <v/>
      </c>
      <c r="F342" s="165" t="str">
        <f t="shared" si="84"/>
        <v/>
      </c>
      <c r="G342" s="165" t="str">
        <f t="shared" si="85"/>
        <v/>
      </c>
      <c r="H342" s="165" t="str">
        <f t="shared" si="82"/>
        <v/>
      </c>
    </row>
    <row r="343" spans="1:9">
      <c r="A343" s="173" t="str">
        <f>IF(B343="","","Aug")</f>
        <v/>
      </c>
      <c r="B343" t="str">
        <f t="shared" si="70"/>
        <v/>
      </c>
      <c r="C343" s="165" t="str">
        <f t="shared" si="83"/>
        <v/>
      </c>
      <c r="D343" s="165" t="str">
        <f t="shared" si="71"/>
        <v/>
      </c>
      <c r="E343" s="165" t="str">
        <f t="shared" si="81"/>
        <v/>
      </c>
      <c r="F343" s="165" t="str">
        <f t="shared" si="84"/>
        <v/>
      </c>
      <c r="G343" s="165" t="str">
        <f t="shared" si="85"/>
        <v/>
      </c>
      <c r="H343" s="165" t="str">
        <f t="shared" si="82"/>
        <v/>
      </c>
      <c r="I343" s="168" t="str">
        <f>IF(B336="","","Principal")</f>
        <v/>
      </c>
    </row>
    <row r="344" spans="1:9">
      <c r="A344" s="173" t="str">
        <f>IF(B344="","","Sep")</f>
        <v/>
      </c>
      <c r="B344" t="str">
        <f t="shared" si="70"/>
        <v/>
      </c>
      <c r="C344" s="165" t="str">
        <f t="shared" si="83"/>
        <v/>
      </c>
      <c r="D344" s="165" t="str">
        <f t="shared" si="71"/>
        <v/>
      </c>
      <c r="E344" s="165" t="str">
        <f t="shared" si="81"/>
        <v/>
      </c>
      <c r="F344" s="165" t="str">
        <f t="shared" si="84"/>
        <v/>
      </c>
      <c r="G344" s="165" t="str">
        <f t="shared" si="85"/>
        <v/>
      </c>
      <c r="H344" s="165" t="str">
        <f t="shared" si="82"/>
        <v/>
      </c>
      <c r="I344" s="169" t="str">
        <f>IF(B336="","",SUM(E336:E347))</f>
        <v/>
      </c>
    </row>
    <row r="345" spans="1:9">
      <c r="A345" s="173" t="str">
        <f>IF(B345="","","Oct")</f>
        <v/>
      </c>
      <c r="B345" t="str">
        <f t="shared" ref="B345:B383" si="86">IF(B344=ABS($C$5),"",IF(B344="","",IF(G344&gt;=$C$3,"",B344+1)))</f>
        <v/>
      </c>
      <c r="C345" s="165" t="str">
        <f t="shared" si="83"/>
        <v/>
      </c>
      <c r="D345" s="165" t="str">
        <f t="shared" si="71"/>
        <v/>
      </c>
      <c r="E345" s="165" t="str">
        <f t="shared" si="81"/>
        <v/>
      </c>
      <c r="F345" s="165" t="str">
        <f t="shared" si="84"/>
        <v/>
      </c>
      <c r="G345" s="165" t="str">
        <f t="shared" si="85"/>
        <v/>
      </c>
      <c r="H345" s="165" t="str">
        <f t="shared" si="82"/>
        <v/>
      </c>
      <c r="I345" s="168" t="str">
        <f>IF(B336="","","Interest")</f>
        <v/>
      </c>
    </row>
    <row r="346" spans="1:9">
      <c r="A346" s="173" t="str">
        <f>IF(B346="","","Nov")</f>
        <v/>
      </c>
      <c r="B346" t="str">
        <f t="shared" si="86"/>
        <v/>
      </c>
      <c r="C346" s="165" t="str">
        <f t="shared" si="83"/>
        <v/>
      </c>
      <c r="D346" s="165" t="str">
        <f t="shared" ref="D346:D383" si="87">IF(B346="","",C346*(($C$4/100)/12))</f>
        <v/>
      </c>
      <c r="E346" s="165" t="str">
        <f t="shared" si="81"/>
        <v/>
      </c>
      <c r="F346" s="165" t="str">
        <f t="shared" si="84"/>
        <v/>
      </c>
      <c r="G346" s="165" t="str">
        <f t="shared" si="85"/>
        <v/>
      </c>
      <c r="H346" s="165" t="str">
        <f t="shared" si="82"/>
        <v/>
      </c>
      <c r="I346" s="169" t="str">
        <f>IF(B336="","",SUM(D336:D347))</f>
        <v/>
      </c>
    </row>
    <row r="347" spans="1:9">
      <c r="A347" s="174" t="str">
        <f>IF(B347="","","Dec")</f>
        <v/>
      </c>
      <c r="B347" s="170" t="str">
        <f t="shared" si="86"/>
        <v/>
      </c>
      <c r="C347" s="171" t="str">
        <f t="shared" si="83"/>
        <v/>
      </c>
      <c r="D347" s="171" t="str">
        <f t="shared" si="87"/>
        <v/>
      </c>
      <c r="E347" s="171" t="str">
        <f t="shared" si="81"/>
        <v/>
      </c>
      <c r="F347" s="171" t="str">
        <f t="shared" si="84"/>
        <v/>
      </c>
      <c r="G347" s="171" t="str">
        <f t="shared" si="85"/>
        <v/>
      </c>
      <c r="H347" s="171" t="str">
        <f t="shared" si="82"/>
        <v/>
      </c>
      <c r="I347" s="170" t="str">
        <f>IF(B336="","","End of year 28")</f>
        <v/>
      </c>
    </row>
    <row r="348" spans="1:9">
      <c r="A348" s="173" t="str">
        <f>IF(B348="","","Jan")</f>
        <v/>
      </c>
      <c r="B348" t="str">
        <f t="shared" si="86"/>
        <v/>
      </c>
      <c r="C348" s="165" t="str">
        <f t="shared" si="83"/>
        <v/>
      </c>
      <c r="D348" s="165" t="str">
        <f t="shared" si="87"/>
        <v/>
      </c>
      <c r="E348" s="165" t="str">
        <f t="shared" si="81"/>
        <v/>
      </c>
      <c r="F348" s="165" t="str">
        <f t="shared" si="84"/>
        <v/>
      </c>
      <c r="G348" s="165" t="str">
        <f t="shared" si="85"/>
        <v/>
      </c>
      <c r="H348" s="165" t="str">
        <f t="shared" si="82"/>
        <v/>
      </c>
    </row>
    <row r="349" spans="1:9">
      <c r="A349" s="173" t="str">
        <f>IF(B349="","","Feb")</f>
        <v/>
      </c>
      <c r="B349" t="str">
        <f t="shared" si="86"/>
        <v/>
      </c>
      <c r="C349" s="165" t="str">
        <f t="shared" si="83"/>
        <v/>
      </c>
      <c r="D349" s="165" t="str">
        <f t="shared" si="87"/>
        <v/>
      </c>
      <c r="E349" s="165" t="str">
        <f t="shared" si="81"/>
        <v/>
      </c>
      <c r="F349" s="165" t="str">
        <f t="shared" si="84"/>
        <v/>
      </c>
      <c r="G349" s="165" t="str">
        <f t="shared" si="85"/>
        <v/>
      </c>
      <c r="H349" s="165" t="str">
        <f t="shared" ref="H349:H364" si="88">IF(B349="","",H348+D349)</f>
        <v/>
      </c>
    </row>
    <row r="350" spans="1:9">
      <c r="A350" s="173" t="str">
        <f>IF(B350="","","Mar")</f>
        <v/>
      </c>
      <c r="B350" t="str">
        <f t="shared" si="86"/>
        <v/>
      </c>
      <c r="C350" s="165" t="str">
        <f t="shared" ref="C350:C365" si="89">IF(B350="","",F349)</f>
        <v/>
      </c>
      <c r="D350" s="165" t="str">
        <f t="shared" si="87"/>
        <v/>
      </c>
      <c r="E350" s="165" t="str">
        <f t="shared" si="81"/>
        <v/>
      </c>
      <c r="F350" s="165" t="str">
        <f t="shared" ref="F350:F365" si="90">IF(B350="","",C350-E350)</f>
        <v/>
      </c>
      <c r="G350" s="165" t="str">
        <f t="shared" ref="G350:G365" si="91">IF(B350="","",G349+E350)</f>
        <v/>
      </c>
      <c r="H350" s="165" t="str">
        <f t="shared" si="88"/>
        <v/>
      </c>
    </row>
    <row r="351" spans="1:9">
      <c r="A351" s="173" t="str">
        <f>IF(B351="","","Apr")</f>
        <v/>
      </c>
      <c r="B351" t="str">
        <f t="shared" si="86"/>
        <v/>
      </c>
      <c r="C351" s="165" t="str">
        <f t="shared" si="89"/>
        <v/>
      </c>
      <c r="D351" s="165" t="str">
        <f t="shared" si="87"/>
        <v/>
      </c>
      <c r="E351" s="165" t="str">
        <f t="shared" si="81"/>
        <v/>
      </c>
      <c r="F351" s="165" t="str">
        <f t="shared" si="90"/>
        <v/>
      </c>
      <c r="G351" s="165" t="str">
        <f t="shared" si="91"/>
        <v/>
      </c>
      <c r="H351" s="165" t="str">
        <f t="shared" si="88"/>
        <v/>
      </c>
    </row>
    <row r="352" spans="1:9">
      <c r="A352" s="173" t="str">
        <f>IF(B352="","","May")</f>
        <v/>
      </c>
      <c r="B352" t="str">
        <f t="shared" si="86"/>
        <v/>
      </c>
      <c r="C352" s="165" t="str">
        <f t="shared" si="89"/>
        <v/>
      </c>
      <c r="D352" s="165" t="str">
        <f t="shared" si="87"/>
        <v/>
      </c>
      <c r="E352" s="165" t="str">
        <f t="shared" si="81"/>
        <v/>
      </c>
      <c r="F352" s="165" t="str">
        <f t="shared" si="90"/>
        <v/>
      </c>
      <c r="G352" s="165" t="str">
        <f t="shared" si="91"/>
        <v/>
      </c>
      <c r="H352" s="165" t="str">
        <f t="shared" si="88"/>
        <v/>
      </c>
    </row>
    <row r="353" spans="1:9">
      <c r="A353" s="173" t="str">
        <f>IF(B353="","","Jun")</f>
        <v/>
      </c>
      <c r="B353" t="str">
        <f t="shared" si="86"/>
        <v/>
      </c>
      <c r="C353" s="165" t="str">
        <f t="shared" si="89"/>
        <v/>
      </c>
      <c r="D353" s="165" t="str">
        <f t="shared" si="87"/>
        <v/>
      </c>
      <c r="E353" s="165" t="str">
        <f t="shared" si="81"/>
        <v/>
      </c>
      <c r="F353" s="165" t="str">
        <f t="shared" si="90"/>
        <v/>
      </c>
      <c r="G353" s="165" t="str">
        <f t="shared" si="91"/>
        <v/>
      </c>
      <c r="H353" s="165" t="str">
        <f t="shared" si="88"/>
        <v/>
      </c>
    </row>
    <row r="354" spans="1:9">
      <c r="A354" s="173" t="str">
        <f>IF(B354="","","Jul")</f>
        <v/>
      </c>
      <c r="B354" t="str">
        <f t="shared" si="86"/>
        <v/>
      </c>
      <c r="C354" s="165" t="str">
        <f t="shared" si="89"/>
        <v/>
      </c>
      <c r="D354" s="165" t="str">
        <f t="shared" si="87"/>
        <v/>
      </c>
      <c r="E354" s="165" t="str">
        <f t="shared" si="81"/>
        <v/>
      </c>
      <c r="F354" s="165" t="str">
        <f t="shared" si="90"/>
        <v/>
      </c>
      <c r="G354" s="165" t="str">
        <f t="shared" si="91"/>
        <v/>
      </c>
      <c r="H354" s="165" t="str">
        <f t="shared" si="88"/>
        <v/>
      </c>
    </row>
    <row r="355" spans="1:9">
      <c r="A355" s="173" t="str">
        <f>IF(B355="","","Aug")</f>
        <v/>
      </c>
      <c r="B355" t="str">
        <f t="shared" si="86"/>
        <v/>
      </c>
      <c r="C355" s="165" t="str">
        <f t="shared" si="89"/>
        <v/>
      </c>
      <c r="D355" s="165" t="str">
        <f t="shared" si="87"/>
        <v/>
      </c>
      <c r="E355" s="165" t="str">
        <f t="shared" si="81"/>
        <v/>
      </c>
      <c r="F355" s="165" t="str">
        <f t="shared" si="90"/>
        <v/>
      </c>
      <c r="G355" s="165" t="str">
        <f t="shared" si="91"/>
        <v/>
      </c>
      <c r="H355" s="165" t="str">
        <f t="shared" si="88"/>
        <v/>
      </c>
      <c r="I355" s="168" t="str">
        <f>IF(B348="","","Principal")</f>
        <v/>
      </c>
    </row>
    <row r="356" spans="1:9">
      <c r="A356" s="173" t="str">
        <f>IF(B356="","","Sep")</f>
        <v/>
      </c>
      <c r="B356" t="str">
        <f t="shared" si="86"/>
        <v/>
      </c>
      <c r="C356" s="165" t="str">
        <f t="shared" si="89"/>
        <v/>
      </c>
      <c r="D356" s="165" t="str">
        <f t="shared" si="87"/>
        <v/>
      </c>
      <c r="E356" s="165" t="str">
        <f t="shared" si="81"/>
        <v/>
      </c>
      <c r="F356" s="165" t="str">
        <f t="shared" si="90"/>
        <v/>
      </c>
      <c r="G356" s="165" t="str">
        <f t="shared" si="91"/>
        <v/>
      </c>
      <c r="H356" s="165" t="str">
        <f t="shared" si="88"/>
        <v/>
      </c>
      <c r="I356" s="169" t="str">
        <f>IF(B348="","",SUM(E348:E359))</f>
        <v/>
      </c>
    </row>
    <row r="357" spans="1:9">
      <c r="A357" s="173" t="str">
        <f>IF(B357="","","Oct")</f>
        <v/>
      </c>
      <c r="B357" t="str">
        <f t="shared" si="86"/>
        <v/>
      </c>
      <c r="C357" s="165" t="str">
        <f t="shared" si="89"/>
        <v/>
      </c>
      <c r="D357" s="165" t="str">
        <f t="shared" si="87"/>
        <v/>
      </c>
      <c r="E357" s="165" t="str">
        <f t="shared" si="81"/>
        <v/>
      </c>
      <c r="F357" s="165" t="str">
        <f t="shared" si="90"/>
        <v/>
      </c>
      <c r="G357" s="165" t="str">
        <f t="shared" si="91"/>
        <v/>
      </c>
      <c r="H357" s="165" t="str">
        <f t="shared" si="88"/>
        <v/>
      </c>
      <c r="I357" s="168" t="str">
        <f>IF(B348="","","Interest")</f>
        <v/>
      </c>
    </row>
    <row r="358" spans="1:9">
      <c r="A358" s="173" t="str">
        <f>IF(B358="","","Nov")</f>
        <v/>
      </c>
      <c r="B358" t="str">
        <f t="shared" si="86"/>
        <v/>
      </c>
      <c r="C358" s="165" t="str">
        <f t="shared" si="89"/>
        <v/>
      </c>
      <c r="D358" s="165" t="str">
        <f t="shared" si="87"/>
        <v/>
      </c>
      <c r="E358" s="165" t="str">
        <f t="shared" si="81"/>
        <v/>
      </c>
      <c r="F358" s="165" t="str">
        <f t="shared" si="90"/>
        <v/>
      </c>
      <c r="G358" s="165" t="str">
        <f t="shared" si="91"/>
        <v/>
      </c>
      <c r="H358" s="165" t="str">
        <f t="shared" si="88"/>
        <v/>
      </c>
      <c r="I358" s="169" t="str">
        <f>IF(B348="","",SUM(D348:D359))</f>
        <v/>
      </c>
    </row>
    <row r="359" spans="1:9">
      <c r="A359" s="174" t="str">
        <f>IF(B359="","","Dec")</f>
        <v/>
      </c>
      <c r="B359" s="170" t="str">
        <f t="shared" si="86"/>
        <v/>
      </c>
      <c r="C359" s="171" t="str">
        <f t="shared" si="89"/>
        <v/>
      </c>
      <c r="D359" s="171" t="str">
        <f t="shared" si="87"/>
        <v/>
      </c>
      <c r="E359" s="171" t="str">
        <f t="shared" si="81"/>
        <v/>
      </c>
      <c r="F359" s="171" t="str">
        <f t="shared" si="90"/>
        <v/>
      </c>
      <c r="G359" s="171" t="str">
        <f t="shared" si="91"/>
        <v/>
      </c>
      <c r="H359" s="171" t="str">
        <f t="shared" si="88"/>
        <v/>
      </c>
      <c r="I359" s="170" t="str">
        <f>IF(B348="","","End of year 29")</f>
        <v/>
      </c>
    </row>
    <row r="360" spans="1:9">
      <c r="A360" s="173" t="str">
        <f>IF(B360="","","Jan")</f>
        <v/>
      </c>
      <c r="B360" t="str">
        <f t="shared" si="86"/>
        <v/>
      </c>
      <c r="C360" s="165" t="str">
        <f t="shared" si="89"/>
        <v/>
      </c>
      <c r="D360" s="165" t="str">
        <f t="shared" si="87"/>
        <v/>
      </c>
      <c r="E360" s="165" t="str">
        <f t="shared" si="81"/>
        <v/>
      </c>
      <c r="F360" s="165" t="str">
        <f t="shared" si="90"/>
        <v/>
      </c>
      <c r="G360" s="165" t="str">
        <f t="shared" si="91"/>
        <v/>
      </c>
      <c r="H360" s="165" t="str">
        <f t="shared" si="88"/>
        <v/>
      </c>
    </row>
    <row r="361" spans="1:9">
      <c r="A361" s="173" t="str">
        <f>IF(B361="","","Feb")</f>
        <v/>
      </c>
      <c r="B361" t="str">
        <f t="shared" si="86"/>
        <v/>
      </c>
      <c r="C361" s="165" t="str">
        <f t="shared" si="89"/>
        <v/>
      </c>
      <c r="D361" s="165" t="str">
        <f t="shared" si="87"/>
        <v/>
      </c>
      <c r="E361" s="165" t="str">
        <f t="shared" si="81"/>
        <v/>
      </c>
      <c r="F361" s="165" t="str">
        <f t="shared" si="90"/>
        <v/>
      </c>
      <c r="G361" s="165" t="str">
        <f t="shared" si="91"/>
        <v/>
      </c>
      <c r="H361" s="165" t="str">
        <f t="shared" si="88"/>
        <v/>
      </c>
    </row>
    <row r="362" spans="1:9">
      <c r="A362" s="173" t="str">
        <f>IF(B362="","","Mar")</f>
        <v/>
      </c>
      <c r="B362" t="str">
        <f t="shared" si="86"/>
        <v/>
      </c>
      <c r="C362" s="165" t="str">
        <f t="shared" si="89"/>
        <v/>
      </c>
      <c r="D362" s="165" t="str">
        <f t="shared" si="87"/>
        <v/>
      </c>
      <c r="E362" s="165" t="str">
        <f t="shared" si="81"/>
        <v/>
      </c>
      <c r="F362" s="165" t="str">
        <f t="shared" si="90"/>
        <v/>
      </c>
      <c r="G362" s="165" t="str">
        <f t="shared" si="91"/>
        <v/>
      </c>
      <c r="H362" s="165" t="str">
        <f t="shared" si="88"/>
        <v/>
      </c>
    </row>
    <row r="363" spans="1:9">
      <c r="A363" s="173" t="str">
        <f>IF(B363="","","Apr")</f>
        <v/>
      </c>
      <c r="B363" t="str">
        <f t="shared" si="86"/>
        <v/>
      </c>
      <c r="C363" s="165" t="str">
        <f t="shared" si="89"/>
        <v/>
      </c>
      <c r="D363" s="165" t="str">
        <f t="shared" si="87"/>
        <v/>
      </c>
      <c r="E363" s="165" t="str">
        <f t="shared" si="81"/>
        <v/>
      </c>
      <c r="F363" s="165" t="str">
        <f t="shared" si="90"/>
        <v/>
      </c>
      <c r="G363" s="165" t="str">
        <f t="shared" si="91"/>
        <v/>
      </c>
      <c r="H363" s="165" t="str">
        <f t="shared" si="88"/>
        <v/>
      </c>
    </row>
    <row r="364" spans="1:9">
      <c r="A364" s="173" t="str">
        <f>IF(B364="","","May")</f>
        <v/>
      </c>
      <c r="B364" t="str">
        <f t="shared" si="86"/>
        <v/>
      </c>
      <c r="C364" s="165" t="str">
        <f t="shared" si="89"/>
        <v/>
      </c>
      <c r="D364" s="165" t="str">
        <f t="shared" si="87"/>
        <v/>
      </c>
      <c r="E364" s="165" t="str">
        <f t="shared" si="81"/>
        <v/>
      </c>
      <c r="F364" s="165" t="str">
        <f t="shared" si="90"/>
        <v/>
      </c>
      <c r="G364" s="165" t="str">
        <f t="shared" si="91"/>
        <v/>
      </c>
      <c r="H364" s="165" t="str">
        <f t="shared" si="88"/>
        <v/>
      </c>
    </row>
    <row r="365" spans="1:9">
      <c r="A365" s="173" t="str">
        <f>IF(B365="","","Jun")</f>
        <v/>
      </c>
      <c r="B365" t="str">
        <f t="shared" si="86"/>
        <v/>
      </c>
      <c r="C365" s="165" t="str">
        <f t="shared" si="89"/>
        <v/>
      </c>
      <c r="D365" s="165" t="str">
        <f t="shared" si="87"/>
        <v/>
      </c>
      <c r="E365" s="165" t="str">
        <f t="shared" si="81"/>
        <v/>
      </c>
      <c r="F365" s="165" t="str">
        <f t="shared" si="90"/>
        <v/>
      </c>
      <c r="G365" s="165" t="str">
        <f t="shared" si="91"/>
        <v/>
      </c>
      <c r="H365" s="165" t="str">
        <f t="shared" ref="H365:H380" si="92">IF(B365="","",H364+D365)</f>
        <v/>
      </c>
    </row>
    <row r="366" spans="1:9">
      <c r="A366" s="173" t="str">
        <f>IF(B366="","","Jul")</f>
        <v/>
      </c>
      <c r="B366" t="str">
        <f t="shared" si="86"/>
        <v/>
      </c>
      <c r="C366" s="165" t="str">
        <f t="shared" ref="C366:C381" si="93">IF(B366="","",F365)</f>
        <v/>
      </c>
      <c r="D366" s="165" t="str">
        <f t="shared" si="87"/>
        <v/>
      </c>
      <c r="E366" s="165" t="str">
        <f t="shared" si="81"/>
        <v/>
      </c>
      <c r="F366" s="165" t="str">
        <f t="shared" ref="F366:F381" si="94">IF(B366="","",C366-E366)</f>
        <v/>
      </c>
      <c r="G366" s="165" t="str">
        <f t="shared" ref="G366:G381" si="95">IF(B366="","",G365+E366)</f>
        <v/>
      </c>
      <c r="H366" s="165" t="str">
        <f t="shared" si="92"/>
        <v/>
      </c>
    </row>
    <row r="367" spans="1:9">
      <c r="A367" s="173" t="str">
        <f>IF(B367="","","Aug")</f>
        <v/>
      </c>
      <c r="B367" t="str">
        <f t="shared" si="86"/>
        <v/>
      </c>
      <c r="C367" s="165" t="str">
        <f t="shared" si="93"/>
        <v/>
      </c>
      <c r="D367" s="165" t="str">
        <f t="shared" si="87"/>
        <v/>
      </c>
      <c r="E367" s="165" t="str">
        <f t="shared" si="81"/>
        <v/>
      </c>
      <c r="F367" s="165" t="str">
        <f t="shared" si="94"/>
        <v/>
      </c>
      <c r="G367" s="165" t="str">
        <f t="shared" si="95"/>
        <v/>
      </c>
      <c r="H367" s="165" t="str">
        <f t="shared" si="92"/>
        <v/>
      </c>
      <c r="I367" s="168" t="str">
        <f>IF(B360="","","Principal")</f>
        <v/>
      </c>
    </row>
    <row r="368" spans="1:9">
      <c r="A368" s="173" t="str">
        <f>IF(B368="","","Sep")</f>
        <v/>
      </c>
      <c r="B368" t="str">
        <f t="shared" si="86"/>
        <v/>
      </c>
      <c r="C368" s="165" t="str">
        <f t="shared" si="93"/>
        <v/>
      </c>
      <c r="D368" s="165" t="str">
        <f t="shared" si="87"/>
        <v/>
      </c>
      <c r="E368" s="165" t="str">
        <f t="shared" si="81"/>
        <v/>
      </c>
      <c r="F368" s="165" t="str">
        <f t="shared" si="94"/>
        <v/>
      </c>
      <c r="G368" s="165" t="str">
        <f t="shared" si="95"/>
        <v/>
      </c>
      <c r="H368" s="165" t="str">
        <f t="shared" si="92"/>
        <v/>
      </c>
      <c r="I368" s="169" t="str">
        <f>IF(B360="","",SUM(E360:E371))</f>
        <v/>
      </c>
    </row>
    <row r="369" spans="1:9">
      <c r="A369" s="173" t="str">
        <f>IF(B369="","","Oct")</f>
        <v/>
      </c>
      <c r="B369" t="str">
        <f t="shared" si="86"/>
        <v/>
      </c>
      <c r="C369" s="165" t="str">
        <f t="shared" si="93"/>
        <v/>
      </c>
      <c r="D369" s="165" t="str">
        <f t="shared" si="87"/>
        <v/>
      </c>
      <c r="E369" s="165" t="str">
        <f t="shared" si="81"/>
        <v/>
      </c>
      <c r="F369" s="165" t="str">
        <f t="shared" si="94"/>
        <v/>
      </c>
      <c r="G369" s="165" t="str">
        <f t="shared" si="95"/>
        <v/>
      </c>
      <c r="H369" s="165" t="str">
        <f t="shared" si="92"/>
        <v/>
      </c>
      <c r="I369" s="168" t="str">
        <f>IF(B360="","","Interest")</f>
        <v/>
      </c>
    </row>
    <row r="370" spans="1:9">
      <c r="A370" s="173" t="str">
        <f>IF(B370="","","Nov")</f>
        <v/>
      </c>
      <c r="B370" t="str">
        <f t="shared" si="86"/>
        <v/>
      </c>
      <c r="C370" s="165" t="str">
        <f t="shared" si="93"/>
        <v/>
      </c>
      <c r="D370" s="165" t="str">
        <f t="shared" si="87"/>
        <v/>
      </c>
      <c r="E370" s="165" t="str">
        <f t="shared" si="81"/>
        <v/>
      </c>
      <c r="F370" s="165" t="str">
        <f t="shared" si="94"/>
        <v/>
      </c>
      <c r="G370" s="165" t="str">
        <f t="shared" si="95"/>
        <v/>
      </c>
      <c r="H370" s="165" t="str">
        <f t="shared" si="92"/>
        <v/>
      </c>
      <c r="I370" s="169" t="str">
        <f>IF(B360="","",SUM(D360:D371))</f>
        <v/>
      </c>
    </row>
    <row r="371" spans="1:9">
      <c r="A371" s="174" t="str">
        <f>IF(B371="","","Dec")</f>
        <v/>
      </c>
      <c r="B371" s="170" t="str">
        <f t="shared" si="86"/>
        <v/>
      </c>
      <c r="C371" s="171" t="str">
        <f t="shared" si="93"/>
        <v/>
      </c>
      <c r="D371" s="171" t="str">
        <f t="shared" si="87"/>
        <v/>
      </c>
      <c r="E371" s="171" t="str">
        <f t="shared" si="81"/>
        <v/>
      </c>
      <c r="F371" s="171" t="str">
        <f t="shared" si="94"/>
        <v/>
      </c>
      <c r="G371" s="171" t="str">
        <f t="shared" si="95"/>
        <v/>
      </c>
      <c r="H371" s="171" t="str">
        <f t="shared" si="92"/>
        <v/>
      </c>
      <c r="I371" s="170" t="str">
        <f>IF(B360="","","End of year 30")</f>
        <v/>
      </c>
    </row>
    <row r="372" spans="1:9">
      <c r="A372" s="173" t="str">
        <f>IF(B372="","","Jan")</f>
        <v/>
      </c>
      <c r="B372" t="str">
        <f t="shared" si="86"/>
        <v/>
      </c>
      <c r="C372" s="165" t="str">
        <f t="shared" si="93"/>
        <v/>
      </c>
      <c r="D372" s="165" t="str">
        <f t="shared" si="87"/>
        <v/>
      </c>
      <c r="E372" s="165" t="str">
        <f t="shared" si="81"/>
        <v/>
      </c>
      <c r="F372" s="165" t="str">
        <f t="shared" si="94"/>
        <v/>
      </c>
      <c r="G372" s="165" t="str">
        <f t="shared" si="95"/>
        <v/>
      </c>
      <c r="H372" s="165" t="str">
        <f t="shared" si="92"/>
        <v/>
      </c>
    </row>
    <row r="373" spans="1:9">
      <c r="A373" s="173" t="str">
        <f>IF(B373="","","Feb")</f>
        <v/>
      </c>
      <c r="B373" t="str">
        <f t="shared" si="86"/>
        <v/>
      </c>
      <c r="C373" s="165" t="str">
        <f t="shared" si="93"/>
        <v/>
      </c>
      <c r="D373" s="165" t="str">
        <f t="shared" si="87"/>
        <v/>
      </c>
      <c r="E373" s="165" t="str">
        <f t="shared" si="81"/>
        <v/>
      </c>
      <c r="F373" s="165" t="str">
        <f t="shared" si="94"/>
        <v/>
      </c>
      <c r="G373" s="165" t="str">
        <f t="shared" si="95"/>
        <v/>
      </c>
      <c r="H373" s="165" t="str">
        <f t="shared" si="92"/>
        <v/>
      </c>
    </row>
    <row r="374" spans="1:9">
      <c r="A374" s="173" t="str">
        <f>IF(B374="","","Mar")</f>
        <v/>
      </c>
      <c r="B374" t="str">
        <f t="shared" si="86"/>
        <v/>
      </c>
      <c r="C374" s="165" t="str">
        <f t="shared" si="93"/>
        <v/>
      </c>
      <c r="D374" s="165" t="str">
        <f t="shared" si="87"/>
        <v/>
      </c>
      <c r="E374" s="165" t="str">
        <f t="shared" si="81"/>
        <v/>
      </c>
      <c r="F374" s="165" t="str">
        <f t="shared" si="94"/>
        <v/>
      </c>
      <c r="G374" s="165" t="str">
        <f t="shared" si="95"/>
        <v/>
      </c>
      <c r="H374" s="165" t="str">
        <f t="shared" si="92"/>
        <v/>
      </c>
    </row>
    <row r="375" spans="1:9">
      <c r="A375" s="173" t="str">
        <f>IF(B375="","","Apr")</f>
        <v/>
      </c>
      <c r="B375" t="str">
        <f t="shared" si="86"/>
        <v/>
      </c>
      <c r="C375" s="165" t="str">
        <f t="shared" si="93"/>
        <v/>
      </c>
      <c r="D375" s="165" t="str">
        <f t="shared" si="87"/>
        <v/>
      </c>
      <c r="E375" s="165" t="str">
        <f t="shared" si="81"/>
        <v/>
      </c>
      <c r="F375" s="165" t="str">
        <f t="shared" si="94"/>
        <v/>
      </c>
      <c r="G375" s="165" t="str">
        <f t="shared" si="95"/>
        <v/>
      </c>
      <c r="H375" s="165" t="str">
        <f t="shared" si="92"/>
        <v/>
      </c>
    </row>
    <row r="376" spans="1:9">
      <c r="A376" s="173" t="str">
        <f>IF(B376="","","May")</f>
        <v/>
      </c>
      <c r="B376" t="str">
        <f t="shared" si="86"/>
        <v/>
      </c>
      <c r="C376" s="165" t="str">
        <f t="shared" si="93"/>
        <v/>
      </c>
      <c r="D376" s="165" t="str">
        <f t="shared" si="87"/>
        <v/>
      </c>
      <c r="E376" s="165" t="str">
        <f t="shared" si="81"/>
        <v/>
      </c>
      <c r="F376" s="165" t="str">
        <f t="shared" si="94"/>
        <v/>
      </c>
      <c r="G376" s="165" t="str">
        <f t="shared" si="95"/>
        <v/>
      </c>
      <c r="H376" s="165" t="str">
        <f t="shared" si="92"/>
        <v/>
      </c>
    </row>
    <row r="377" spans="1:9">
      <c r="A377" s="173" t="str">
        <f>IF(B377="","","Jun")</f>
        <v/>
      </c>
      <c r="B377" t="str">
        <f t="shared" si="86"/>
        <v/>
      </c>
      <c r="C377" s="165" t="str">
        <f t="shared" si="93"/>
        <v/>
      </c>
      <c r="D377" s="165" t="str">
        <f t="shared" si="87"/>
        <v/>
      </c>
      <c r="E377" s="165" t="str">
        <f t="shared" si="81"/>
        <v/>
      </c>
      <c r="F377" s="165" t="str">
        <f t="shared" si="94"/>
        <v/>
      </c>
      <c r="G377" s="165" t="str">
        <f t="shared" si="95"/>
        <v/>
      </c>
      <c r="H377" s="165" t="str">
        <f t="shared" si="92"/>
        <v/>
      </c>
    </row>
    <row r="378" spans="1:9">
      <c r="A378" s="173" t="str">
        <f>IF(B378="","","Jul")</f>
        <v/>
      </c>
      <c r="B378" t="str">
        <f t="shared" si="86"/>
        <v/>
      </c>
      <c r="C378" s="165" t="str">
        <f t="shared" si="93"/>
        <v/>
      </c>
      <c r="D378" s="165" t="str">
        <f t="shared" si="87"/>
        <v/>
      </c>
      <c r="E378" s="165" t="str">
        <f t="shared" si="81"/>
        <v/>
      </c>
      <c r="F378" s="165" t="str">
        <f t="shared" si="94"/>
        <v/>
      </c>
      <c r="G378" s="165" t="str">
        <f t="shared" si="95"/>
        <v/>
      </c>
      <c r="H378" s="165" t="str">
        <f t="shared" si="92"/>
        <v/>
      </c>
    </row>
    <row r="379" spans="1:9">
      <c r="A379" s="173" t="str">
        <f>IF(B379="","","Aug")</f>
        <v/>
      </c>
      <c r="B379" t="str">
        <f t="shared" si="86"/>
        <v/>
      </c>
      <c r="C379" s="165" t="str">
        <f t="shared" si="93"/>
        <v/>
      </c>
      <c r="D379" s="165" t="str">
        <f t="shared" si="87"/>
        <v/>
      </c>
      <c r="E379" s="165" t="str">
        <f t="shared" si="81"/>
        <v/>
      </c>
      <c r="F379" s="165" t="str">
        <f t="shared" si="94"/>
        <v/>
      </c>
      <c r="G379" s="165" t="str">
        <f t="shared" si="95"/>
        <v/>
      </c>
      <c r="H379" s="165" t="str">
        <f t="shared" si="92"/>
        <v/>
      </c>
      <c r="I379" s="168" t="str">
        <f>IF(B372="","","Principal")</f>
        <v/>
      </c>
    </row>
    <row r="380" spans="1:9">
      <c r="A380" s="173" t="str">
        <f>IF(B380="","","Sep")</f>
        <v/>
      </c>
      <c r="B380" t="str">
        <f t="shared" si="86"/>
        <v/>
      </c>
      <c r="C380" s="165" t="str">
        <f t="shared" si="93"/>
        <v/>
      </c>
      <c r="D380" s="165" t="str">
        <f t="shared" si="87"/>
        <v/>
      </c>
      <c r="E380" s="165" t="str">
        <f t="shared" si="81"/>
        <v/>
      </c>
      <c r="F380" s="165" t="str">
        <f t="shared" si="94"/>
        <v/>
      </c>
      <c r="G380" s="165" t="str">
        <f t="shared" si="95"/>
        <v/>
      </c>
      <c r="H380" s="165" t="str">
        <f t="shared" si="92"/>
        <v/>
      </c>
      <c r="I380" s="169" t="str">
        <f>IF(B372="","",SUM(E372:E383))</f>
        <v/>
      </c>
    </row>
    <row r="381" spans="1:9">
      <c r="A381" s="173" t="str">
        <f>IF(B381="","","Oct")</f>
        <v/>
      </c>
      <c r="B381" t="str">
        <f t="shared" si="86"/>
        <v/>
      </c>
      <c r="C381" s="165" t="str">
        <f t="shared" si="93"/>
        <v/>
      </c>
      <c r="D381" s="165" t="str">
        <f t="shared" si="87"/>
        <v/>
      </c>
      <c r="E381" s="165" t="str">
        <f t="shared" si="81"/>
        <v/>
      </c>
      <c r="F381" s="165" t="str">
        <f t="shared" si="94"/>
        <v/>
      </c>
      <c r="G381" s="165" t="str">
        <f t="shared" si="95"/>
        <v/>
      </c>
      <c r="H381" s="165" t="str">
        <f>IF(B381="","",H380+D381)</f>
        <v/>
      </c>
      <c r="I381" s="168" t="str">
        <f>IF(B372="","","Interest")</f>
        <v/>
      </c>
    </row>
    <row r="382" spans="1:9">
      <c r="A382" s="173" t="str">
        <f>IF(B382="","","Nov")</f>
        <v/>
      </c>
      <c r="B382" t="str">
        <f t="shared" si="86"/>
        <v/>
      </c>
      <c r="C382" s="165" t="str">
        <f>IF(B382="","",F381)</f>
        <v/>
      </c>
      <c r="D382" s="165" t="str">
        <f t="shared" si="87"/>
        <v/>
      </c>
      <c r="E382" s="165" t="str">
        <f t="shared" si="81"/>
        <v/>
      </c>
      <c r="F382" s="165" t="str">
        <f>IF(B382="","",C382-E382)</f>
        <v/>
      </c>
      <c r="G382" s="165" t="str">
        <f>IF(B382="","",G381+E382)</f>
        <v/>
      </c>
      <c r="H382" s="165" t="str">
        <f>IF(B382="","",H381+D382)</f>
        <v/>
      </c>
      <c r="I382" s="169" t="str">
        <f>IF(B372="","",SUM(D372:D383))</f>
        <v/>
      </c>
    </row>
    <row r="383" spans="1:9">
      <c r="A383" s="174" t="str">
        <f>IF(B383="","","Dec")</f>
        <v/>
      </c>
      <c r="B383" s="170" t="str">
        <f t="shared" si="86"/>
        <v/>
      </c>
      <c r="C383" s="171" t="str">
        <f>IF(B383="","",F382)</f>
        <v/>
      </c>
      <c r="D383" s="171" t="str">
        <f t="shared" si="87"/>
        <v/>
      </c>
      <c r="E383" s="171" t="str">
        <f t="shared" si="81"/>
        <v/>
      </c>
      <c r="F383" s="171" t="str">
        <f>IF(B383="","",C383-E383)</f>
        <v/>
      </c>
      <c r="G383" s="171" t="str">
        <f>IF(B383="","",G382+E383)</f>
        <v/>
      </c>
      <c r="H383" s="171" t="str">
        <f>IF(B383="","",H382+D383)</f>
        <v/>
      </c>
      <c r="I383" s="170" t="str">
        <f>IF(B372="","","End of year 31")</f>
        <v/>
      </c>
    </row>
    <row r="384" spans="1:9">
      <c r="C384" s="165"/>
      <c r="D384" s="165"/>
      <c r="E384" s="165"/>
      <c r="F384" s="165"/>
      <c r="G384" s="165"/>
      <c r="H384" s="165"/>
    </row>
    <row r="385" spans="3:9">
      <c r="C385" s="165"/>
      <c r="D385" s="165"/>
      <c r="E385" s="165"/>
      <c r="F385" s="165"/>
      <c r="G385" s="165"/>
      <c r="H385" s="165"/>
    </row>
    <row r="386" spans="3:9">
      <c r="C386" s="165"/>
      <c r="D386" s="165"/>
      <c r="E386" s="165"/>
      <c r="F386" s="165"/>
      <c r="G386" s="165"/>
      <c r="H386" s="165"/>
    </row>
    <row r="387" spans="3:9">
      <c r="C387" s="165"/>
      <c r="D387" s="165"/>
      <c r="E387" s="165"/>
      <c r="F387" s="165"/>
      <c r="G387" s="165"/>
      <c r="H387" s="165"/>
    </row>
    <row r="388" spans="3:9">
      <c r="C388" s="165"/>
      <c r="D388" s="165"/>
      <c r="E388" s="165"/>
      <c r="F388" s="165"/>
      <c r="G388" s="165"/>
      <c r="H388" s="165"/>
    </row>
    <row r="389" spans="3:9">
      <c r="C389" s="165"/>
      <c r="D389" s="165"/>
      <c r="E389" s="165"/>
      <c r="F389" s="165"/>
      <c r="G389" s="165"/>
      <c r="H389" s="165"/>
    </row>
    <row r="390" spans="3:9">
      <c r="C390" s="165"/>
      <c r="D390" s="165"/>
      <c r="E390" s="165"/>
      <c r="F390" s="165"/>
      <c r="G390" s="165"/>
      <c r="H390" s="165"/>
      <c r="I390" s="168"/>
    </row>
    <row r="391" spans="3:9">
      <c r="C391" s="165"/>
      <c r="D391" s="165"/>
      <c r="E391" s="165"/>
      <c r="F391" s="165"/>
      <c r="G391" s="165"/>
      <c r="H391" s="165"/>
      <c r="I391" s="169"/>
    </row>
    <row r="392" spans="3:9">
      <c r="C392" s="165"/>
      <c r="D392" s="165"/>
      <c r="E392" s="165"/>
      <c r="F392" s="165"/>
      <c r="G392" s="165"/>
      <c r="H392" s="165"/>
      <c r="I392" s="168"/>
    </row>
    <row r="393" spans="3:9">
      <c r="C393" s="165"/>
      <c r="D393" s="165"/>
      <c r="E393" s="165"/>
      <c r="F393" s="165"/>
      <c r="G393" s="165"/>
      <c r="H393" s="165"/>
      <c r="I393" s="169"/>
    </row>
    <row r="394" spans="3:9">
      <c r="C394" s="165"/>
      <c r="D394" s="165"/>
      <c r="E394" s="165"/>
      <c r="F394" s="165"/>
      <c r="G394" s="165"/>
      <c r="H394" s="165"/>
    </row>
    <row r="395" spans="3:9">
      <c r="C395" s="165"/>
      <c r="D395" s="165"/>
      <c r="E395" s="165"/>
      <c r="F395" s="165"/>
      <c r="G395" s="165"/>
      <c r="H395" s="165"/>
    </row>
    <row r="396" spans="3:9">
      <c r="C396" s="165"/>
      <c r="D396" s="165"/>
      <c r="E396" s="165"/>
      <c r="F396" s="165"/>
      <c r="G396" s="165"/>
      <c r="H396" s="165"/>
    </row>
    <row r="397" spans="3:9">
      <c r="C397" s="165"/>
      <c r="D397" s="165"/>
      <c r="E397" s="165"/>
      <c r="F397" s="165"/>
      <c r="G397" s="165"/>
      <c r="H397" s="165"/>
    </row>
    <row r="398" spans="3:9">
      <c r="C398" s="165"/>
      <c r="D398" s="165"/>
      <c r="E398" s="165"/>
      <c r="F398" s="165"/>
      <c r="G398" s="165"/>
      <c r="H398" s="165"/>
    </row>
    <row r="399" spans="3:9">
      <c r="C399" s="165"/>
      <c r="D399" s="165"/>
      <c r="E399" s="165"/>
      <c r="F399" s="165"/>
      <c r="G399" s="165"/>
      <c r="H399" s="165"/>
    </row>
    <row r="400" spans="3:9">
      <c r="C400" s="165"/>
      <c r="D400" s="165"/>
      <c r="E400" s="165"/>
      <c r="F400" s="165"/>
      <c r="G400" s="165"/>
      <c r="H400" s="165"/>
    </row>
    <row r="401" spans="3:9">
      <c r="C401" s="165"/>
      <c r="D401" s="165"/>
      <c r="E401" s="165"/>
      <c r="F401" s="165"/>
      <c r="G401" s="165"/>
      <c r="H401" s="165"/>
    </row>
    <row r="402" spans="3:9">
      <c r="C402" s="165"/>
      <c r="D402" s="165"/>
      <c r="E402" s="165"/>
      <c r="F402" s="165"/>
      <c r="G402" s="165"/>
      <c r="H402" s="165"/>
      <c r="I402" s="168"/>
    </row>
    <row r="403" spans="3:9">
      <c r="C403" s="165"/>
      <c r="D403" s="165"/>
      <c r="E403" s="165"/>
      <c r="F403" s="165"/>
      <c r="G403" s="165"/>
      <c r="H403" s="165"/>
      <c r="I403" s="169"/>
    </row>
    <row r="404" spans="3:9">
      <c r="C404" s="165"/>
      <c r="D404" s="165"/>
      <c r="E404" s="165"/>
      <c r="F404" s="165"/>
      <c r="G404" s="165"/>
      <c r="H404" s="165"/>
      <c r="I404" s="168"/>
    </row>
    <row r="405" spans="3:9">
      <c r="C405" s="165"/>
      <c r="D405" s="165"/>
      <c r="E405" s="165"/>
      <c r="F405" s="165"/>
      <c r="G405" s="165"/>
      <c r="H405" s="165"/>
      <c r="I405" s="169"/>
    </row>
    <row r="406" spans="3:9">
      <c r="C406" s="165"/>
      <c r="D406" s="165"/>
      <c r="E406" s="165"/>
      <c r="F406" s="165"/>
      <c r="G406" s="165"/>
      <c r="H406" s="165"/>
    </row>
    <row r="407" spans="3:9">
      <c r="C407" s="165"/>
      <c r="D407" s="165"/>
      <c r="E407" s="165"/>
      <c r="F407" s="165"/>
      <c r="G407" s="165"/>
      <c r="H407" s="165"/>
    </row>
    <row r="408" spans="3:9">
      <c r="C408" s="165"/>
      <c r="D408" s="165"/>
      <c r="E408" s="165"/>
      <c r="F408" s="165"/>
      <c r="G408" s="165"/>
      <c r="H408" s="165"/>
    </row>
    <row r="409" spans="3:9">
      <c r="C409" s="165"/>
      <c r="D409" s="165"/>
      <c r="E409" s="165"/>
      <c r="F409" s="165"/>
      <c r="G409" s="165"/>
      <c r="H409" s="165"/>
    </row>
    <row r="410" spans="3:9">
      <c r="C410" s="165"/>
      <c r="D410" s="165"/>
      <c r="E410" s="165"/>
      <c r="F410" s="165"/>
      <c r="G410" s="165"/>
      <c r="H410" s="165"/>
    </row>
    <row r="411" spans="3:9">
      <c r="C411" s="165"/>
      <c r="D411" s="165"/>
      <c r="E411" s="165"/>
      <c r="F411" s="165"/>
      <c r="G411" s="165"/>
      <c r="H411" s="165"/>
    </row>
    <row r="412" spans="3:9">
      <c r="C412" s="165"/>
      <c r="D412" s="165"/>
      <c r="E412" s="165"/>
      <c r="F412" s="165"/>
      <c r="G412" s="165"/>
      <c r="H412" s="165"/>
    </row>
    <row r="413" spans="3:9">
      <c r="C413" s="165"/>
      <c r="D413" s="165"/>
      <c r="E413" s="165"/>
      <c r="F413" s="165"/>
      <c r="G413" s="165"/>
      <c r="H413" s="165"/>
    </row>
    <row r="414" spans="3:9">
      <c r="C414" s="165"/>
      <c r="D414" s="165"/>
      <c r="E414" s="165"/>
      <c r="F414" s="165"/>
      <c r="G414" s="165"/>
      <c r="H414" s="165"/>
      <c r="I414" s="168"/>
    </row>
    <row r="415" spans="3:9">
      <c r="C415" s="165"/>
      <c r="D415" s="165"/>
      <c r="E415" s="165"/>
      <c r="F415" s="165"/>
      <c r="G415" s="165"/>
      <c r="H415" s="165"/>
      <c r="I415" s="169"/>
    </row>
    <row r="416" spans="3:9">
      <c r="C416" s="165"/>
      <c r="D416" s="165"/>
      <c r="E416" s="165"/>
      <c r="F416" s="165"/>
      <c r="G416" s="165"/>
      <c r="H416" s="165"/>
      <c r="I416" s="168"/>
    </row>
    <row r="417" spans="3:9">
      <c r="C417" s="165"/>
      <c r="D417" s="165"/>
      <c r="E417" s="165"/>
      <c r="F417" s="165"/>
      <c r="G417" s="165"/>
      <c r="H417" s="165"/>
      <c r="I417" s="169"/>
    </row>
    <row r="418" spans="3:9">
      <c r="C418" s="165"/>
      <c r="D418" s="165"/>
      <c r="E418" s="165"/>
      <c r="F418" s="165"/>
      <c r="G418" s="165"/>
      <c r="H418" s="165"/>
    </row>
    <row r="419" spans="3:9">
      <c r="C419" s="165"/>
      <c r="D419" s="165"/>
      <c r="E419" s="165"/>
      <c r="F419" s="165"/>
      <c r="G419" s="165"/>
      <c r="H419" s="165"/>
    </row>
    <row r="420" spans="3:9">
      <c r="C420" s="165"/>
      <c r="D420" s="165"/>
      <c r="E420" s="165"/>
      <c r="F420" s="165"/>
      <c r="G420" s="165"/>
      <c r="H420" s="165"/>
    </row>
    <row r="421" spans="3:9">
      <c r="C421" s="165"/>
      <c r="D421" s="165"/>
      <c r="E421" s="165"/>
      <c r="F421" s="165"/>
      <c r="G421" s="165"/>
      <c r="H421" s="165"/>
    </row>
    <row r="422" spans="3:9">
      <c r="C422" s="165"/>
      <c r="D422" s="165"/>
      <c r="E422" s="165"/>
      <c r="F422" s="165"/>
      <c r="G422" s="165"/>
      <c r="H422" s="165"/>
    </row>
    <row r="423" spans="3:9">
      <c r="C423" s="165"/>
      <c r="D423" s="165"/>
      <c r="E423" s="165"/>
      <c r="F423" s="165"/>
      <c r="G423" s="165"/>
      <c r="H423" s="165"/>
    </row>
    <row r="424" spans="3:9">
      <c r="C424" s="165"/>
      <c r="D424" s="165"/>
      <c r="E424" s="165"/>
      <c r="F424" s="165"/>
      <c r="G424" s="165"/>
      <c r="H424" s="165"/>
    </row>
    <row r="425" spans="3:9">
      <c r="C425" s="165"/>
      <c r="D425" s="165"/>
      <c r="E425" s="165"/>
      <c r="F425" s="165"/>
      <c r="G425" s="165"/>
      <c r="H425" s="165"/>
    </row>
    <row r="426" spans="3:9">
      <c r="C426" s="165"/>
      <c r="D426" s="165"/>
      <c r="E426" s="165"/>
      <c r="F426" s="165"/>
      <c r="G426" s="165"/>
      <c r="H426" s="165"/>
      <c r="I426" s="168"/>
    </row>
    <row r="427" spans="3:9">
      <c r="C427" s="165"/>
      <c r="D427" s="165"/>
      <c r="E427" s="165"/>
      <c r="F427" s="165"/>
      <c r="G427" s="165"/>
      <c r="H427" s="165"/>
      <c r="I427" s="169"/>
    </row>
    <row r="428" spans="3:9">
      <c r="C428" s="165"/>
      <c r="D428" s="165"/>
      <c r="E428" s="165"/>
      <c r="F428" s="165"/>
      <c r="G428" s="165"/>
      <c r="H428" s="165"/>
      <c r="I428" s="168"/>
    </row>
    <row r="429" spans="3:9">
      <c r="C429" s="165"/>
      <c r="D429" s="165"/>
      <c r="E429" s="165"/>
      <c r="F429" s="165"/>
      <c r="G429" s="165"/>
      <c r="H429" s="165"/>
      <c r="I429" s="169"/>
    </row>
    <row r="430" spans="3:9">
      <c r="C430" s="165"/>
      <c r="D430" s="165"/>
      <c r="E430" s="165"/>
      <c r="F430" s="165"/>
      <c r="G430" s="165"/>
      <c r="H430" s="165"/>
    </row>
    <row r="431" spans="3:9">
      <c r="C431" s="165"/>
      <c r="D431" s="165"/>
      <c r="E431" s="165"/>
      <c r="F431" s="165"/>
      <c r="G431" s="165"/>
      <c r="H431" s="165"/>
    </row>
    <row r="432" spans="3:9">
      <c r="C432" s="165"/>
      <c r="D432" s="165"/>
      <c r="E432" s="165"/>
      <c r="F432" s="165"/>
      <c r="G432" s="165"/>
      <c r="H432" s="165"/>
    </row>
    <row r="433" spans="3:9">
      <c r="C433" s="165"/>
      <c r="D433" s="165"/>
      <c r="E433" s="165"/>
      <c r="F433" s="165"/>
      <c r="G433" s="165"/>
      <c r="H433" s="165"/>
    </row>
    <row r="434" spans="3:9">
      <c r="C434" s="165"/>
      <c r="D434" s="165"/>
      <c r="E434" s="165"/>
      <c r="F434" s="165"/>
      <c r="G434" s="165"/>
      <c r="H434" s="165"/>
    </row>
    <row r="435" spans="3:9">
      <c r="C435" s="165"/>
      <c r="D435" s="165"/>
      <c r="E435" s="165"/>
      <c r="F435" s="165"/>
      <c r="G435" s="165"/>
      <c r="H435" s="165"/>
    </row>
    <row r="436" spans="3:9">
      <c r="C436" s="165"/>
      <c r="D436" s="165"/>
      <c r="E436" s="165"/>
      <c r="F436" s="165"/>
      <c r="G436" s="165"/>
      <c r="H436" s="165"/>
    </row>
    <row r="437" spans="3:9">
      <c r="C437" s="165"/>
      <c r="D437" s="165"/>
      <c r="E437" s="165"/>
      <c r="F437" s="165"/>
      <c r="G437" s="165"/>
      <c r="H437" s="165"/>
    </row>
    <row r="438" spans="3:9">
      <c r="C438" s="165"/>
      <c r="D438" s="165"/>
      <c r="E438" s="165"/>
      <c r="F438" s="165"/>
      <c r="G438" s="165"/>
      <c r="H438" s="165"/>
      <c r="I438" s="168"/>
    </row>
    <row r="439" spans="3:9">
      <c r="C439" s="165"/>
      <c r="D439" s="165"/>
      <c r="E439" s="165"/>
      <c r="F439" s="165"/>
      <c r="G439" s="165"/>
      <c r="H439" s="165"/>
      <c r="I439" s="169"/>
    </row>
    <row r="440" spans="3:9">
      <c r="C440" s="165"/>
      <c r="D440" s="165"/>
      <c r="E440" s="165"/>
      <c r="F440" s="165"/>
      <c r="G440" s="165"/>
      <c r="H440" s="165"/>
      <c r="I440" s="168"/>
    </row>
    <row r="441" spans="3:9">
      <c r="C441" s="165"/>
      <c r="D441" s="165"/>
      <c r="E441" s="165"/>
      <c r="F441" s="165"/>
      <c r="G441" s="165"/>
      <c r="H441" s="165"/>
      <c r="I441" s="169"/>
    </row>
    <row r="442" spans="3:9">
      <c r="C442" s="165"/>
      <c r="D442" s="165"/>
      <c r="E442" s="165"/>
      <c r="F442" s="165"/>
      <c r="G442" s="165"/>
      <c r="H442" s="165"/>
    </row>
    <row r="443" spans="3:9">
      <c r="C443" s="165"/>
      <c r="D443" s="165"/>
      <c r="E443" s="165"/>
      <c r="F443" s="165"/>
      <c r="G443" s="165"/>
      <c r="H443" s="165"/>
    </row>
    <row r="444" spans="3:9">
      <c r="C444" s="165"/>
      <c r="D444" s="165"/>
      <c r="E444" s="165"/>
      <c r="F444" s="165"/>
      <c r="G444" s="165"/>
      <c r="H444" s="165"/>
    </row>
    <row r="445" spans="3:9">
      <c r="C445" s="165"/>
      <c r="D445" s="165"/>
      <c r="E445" s="165"/>
      <c r="F445" s="165"/>
      <c r="G445" s="165"/>
      <c r="H445" s="165"/>
    </row>
    <row r="446" spans="3:9">
      <c r="C446" s="165"/>
      <c r="D446" s="165"/>
      <c r="E446" s="165"/>
      <c r="F446" s="165"/>
      <c r="G446" s="165"/>
      <c r="H446" s="165"/>
    </row>
    <row r="447" spans="3:9">
      <c r="C447" s="165"/>
      <c r="D447" s="165"/>
      <c r="E447" s="165"/>
      <c r="F447" s="165"/>
      <c r="G447" s="165"/>
      <c r="H447" s="165"/>
    </row>
    <row r="448" spans="3:9">
      <c r="C448" s="165"/>
      <c r="D448" s="165"/>
      <c r="E448" s="165"/>
      <c r="F448" s="165"/>
      <c r="G448" s="165"/>
      <c r="H448" s="165"/>
    </row>
    <row r="449" spans="3:9">
      <c r="C449" s="165"/>
      <c r="D449" s="165"/>
      <c r="E449" s="165"/>
      <c r="F449" s="165"/>
      <c r="G449" s="165"/>
      <c r="H449" s="165"/>
    </row>
    <row r="450" spans="3:9">
      <c r="C450" s="165"/>
      <c r="D450" s="165"/>
      <c r="E450" s="165"/>
      <c r="F450" s="165"/>
      <c r="G450" s="165"/>
      <c r="H450" s="165"/>
      <c r="I450" s="168"/>
    </row>
    <row r="451" spans="3:9">
      <c r="C451" s="165"/>
      <c r="D451" s="165"/>
      <c r="E451" s="165"/>
      <c r="F451" s="165"/>
      <c r="G451" s="165"/>
      <c r="H451" s="165"/>
      <c r="I451" s="169"/>
    </row>
    <row r="452" spans="3:9">
      <c r="C452" s="165"/>
      <c r="D452" s="165"/>
      <c r="E452" s="165"/>
      <c r="F452" s="165"/>
      <c r="G452" s="165"/>
      <c r="H452" s="165"/>
      <c r="I452" s="168"/>
    </row>
    <row r="453" spans="3:9">
      <c r="C453" s="165"/>
      <c r="D453" s="165"/>
      <c r="E453" s="165"/>
      <c r="F453" s="165"/>
      <c r="G453" s="165"/>
      <c r="H453" s="165"/>
      <c r="I453" s="169"/>
    </row>
    <row r="454" spans="3:9">
      <c r="C454" s="165"/>
      <c r="D454" s="165"/>
      <c r="E454" s="165"/>
      <c r="F454" s="165"/>
      <c r="G454" s="165"/>
      <c r="H454" s="165"/>
    </row>
    <row r="455" spans="3:9">
      <c r="C455" s="165"/>
      <c r="D455" s="165"/>
      <c r="E455" s="165"/>
      <c r="F455" s="165"/>
      <c r="G455" s="165"/>
      <c r="H455" s="165"/>
    </row>
    <row r="456" spans="3:9">
      <c r="C456" s="165"/>
      <c r="D456" s="165"/>
      <c r="E456" s="165"/>
      <c r="F456" s="165"/>
      <c r="G456" s="165"/>
      <c r="H456" s="165"/>
    </row>
    <row r="457" spans="3:9">
      <c r="C457" s="165"/>
      <c r="D457" s="165"/>
      <c r="E457" s="165"/>
      <c r="F457" s="165"/>
      <c r="G457" s="165"/>
      <c r="H457" s="165"/>
    </row>
    <row r="458" spans="3:9">
      <c r="C458" s="165"/>
      <c r="D458" s="165"/>
      <c r="E458" s="165"/>
      <c r="F458" s="165"/>
      <c r="G458" s="165"/>
      <c r="H458" s="165"/>
    </row>
    <row r="459" spans="3:9">
      <c r="C459" s="165"/>
      <c r="D459" s="165"/>
      <c r="E459" s="165"/>
      <c r="F459" s="165"/>
      <c r="G459" s="165"/>
      <c r="H459" s="165"/>
    </row>
    <row r="460" spans="3:9">
      <c r="C460" s="165"/>
      <c r="D460" s="165"/>
      <c r="E460" s="165"/>
      <c r="F460" s="165"/>
      <c r="G460" s="165"/>
      <c r="H460" s="165"/>
    </row>
    <row r="461" spans="3:9">
      <c r="C461" s="165"/>
      <c r="D461" s="165"/>
      <c r="E461" s="165"/>
      <c r="F461" s="165"/>
      <c r="G461" s="165"/>
      <c r="H461" s="165"/>
    </row>
    <row r="462" spans="3:9">
      <c r="C462" s="165"/>
      <c r="D462" s="165"/>
      <c r="E462" s="165"/>
      <c r="F462" s="165"/>
      <c r="G462" s="165"/>
      <c r="H462" s="165"/>
      <c r="I462" s="168"/>
    </row>
    <row r="463" spans="3:9">
      <c r="C463" s="165"/>
      <c r="D463" s="165"/>
      <c r="E463" s="165"/>
      <c r="F463" s="165"/>
      <c r="G463" s="165"/>
      <c r="H463" s="165"/>
      <c r="I463" s="169"/>
    </row>
    <row r="464" spans="3:9">
      <c r="C464" s="165"/>
      <c r="D464" s="165"/>
      <c r="E464" s="165"/>
      <c r="F464" s="165"/>
      <c r="G464" s="165"/>
      <c r="H464" s="165"/>
      <c r="I464" s="168"/>
    </row>
    <row r="465" spans="3:9">
      <c r="C465" s="165"/>
      <c r="D465" s="165"/>
      <c r="E465" s="165"/>
      <c r="F465" s="165"/>
      <c r="G465" s="165"/>
      <c r="H465" s="165"/>
      <c r="I465" s="169"/>
    </row>
    <row r="466" spans="3:9">
      <c r="C466" s="165"/>
      <c r="D466" s="165"/>
      <c r="E466" s="165"/>
      <c r="F466" s="165"/>
      <c r="G466" s="165"/>
      <c r="H466" s="165"/>
    </row>
    <row r="467" spans="3:9">
      <c r="C467" s="165"/>
      <c r="D467" s="165"/>
      <c r="E467" s="165"/>
      <c r="F467" s="165"/>
      <c r="G467" s="165"/>
      <c r="H467" s="165"/>
    </row>
    <row r="468" spans="3:9">
      <c r="C468" s="165"/>
      <c r="D468" s="165"/>
      <c r="E468" s="165"/>
      <c r="F468" s="165"/>
      <c r="G468" s="165"/>
      <c r="H468" s="165"/>
    </row>
    <row r="469" spans="3:9">
      <c r="C469" s="165"/>
      <c r="D469" s="165"/>
      <c r="E469" s="165"/>
      <c r="F469" s="165"/>
      <c r="G469" s="165"/>
      <c r="H469" s="165"/>
    </row>
    <row r="470" spans="3:9">
      <c r="C470" s="165"/>
      <c r="D470" s="165"/>
      <c r="E470" s="165"/>
      <c r="F470" s="165"/>
      <c r="G470" s="165"/>
      <c r="H470" s="165"/>
    </row>
    <row r="471" spans="3:9">
      <c r="C471" s="165"/>
      <c r="D471" s="165"/>
      <c r="E471" s="165"/>
      <c r="F471" s="165"/>
      <c r="G471" s="165"/>
      <c r="H471" s="165"/>
    </row>
    <row r="472" spans="3:9">
      <c r="C472" s="165"/>
      <c r="D472" s="165"/>
      <c r="E472" s="165"/>
      <c r="F472" s="165"/>
      <c r="G472" s="165"/>
      <c r="H472" s="165"/>
    </row>
    <row r="473" spans="3:9">
      <c r="C473" s="165"/>
      <c r="D473" s="165"/>
      <c r="E473" s="165"/>
      <c r="F473" s="165"/>
      <c r="G473" s="165"/>
      <c r="H473" s="165"/>
    </row>
    <row r="474" spans="3:9">
      <c r="C474" s="165"/>
      <c r="D474" s="165"/>
      <c r="E474" s="165"/>
      <c r="F474" s="165"/>
      <c r="G474" s="165"/>
      <c r="H474" s="165"/>
      <c r="I474" s="168"/>
    </row>
    <row r="475" spans="3:9">
      <c r="C475" s="165"/>
      <c r="D475" s="165"/>
      <c r="E475" s="165"/>
      <c r="F475" s="165"/>
      <c r="G475" s="165"/>
      <c r="H475" s="165"/>
      <c r="I475" s="169"/>
    </row>
    <row r="476" spans="3:9">
      <c r="C476" s="165"/>
      <c r="D476" s="165"/>
      <c r="E476" s="165"/>
      <c r="F476" s="165"/>
      <c r="G476" s="165"/>
      <c r="H476" s="165"/>
      <c r="I476" s="168"/>
    </row>
    <row r="477" spans="3:9">
      <c r="C477" s="165"/>
      <c r="D477" s="165"/>
      <c r="E477" s="165"/>
      <c r="F477" s="165"/>
      <c r="G477" s="165"/>
      <c r="H477" s="165"/>
      <c r="I477" s="169"/>
    </row>
    <row r="478" spans="3:9">
      <c r="C478" s="165"/>
      <c r="D478" s="165"/>
      <c r="E478" s="165"/>
      <c r="F478" s="165"/>
      <c r="G478" s="165"/>
      <c r="H478" s="165"/>
    </row>
    <row r="479" spans="3:9">
      <c r="C479" s="165"/>
      <c r="D479" s="165"/>
      <c r="E479" s="165"/>
      <c r="F479" s="165"/>
      <c r="G479" s="165"/>
      <c r="H479" s="165"/>
    </row>
    <row r="480" spans="3:9">
      <c r="C480" s="165"/>
      <c r="D480" s="165"/>
      <c r="E480" s="165"/>
      <c r="F480" s="165"/>
      <c r="G480" s="165"/>
      <c r="H480" s="165"/>
    </row>
    <row r="481" spans="3:9">
      <c r="C481" s="165"/>
      <c r="D481" s="165"/>
      <c r="E481" s="165"/>
      <c r="F481" s="165"/>
      <c r="G481" s="165"/>
      <c r="H481" s="165"/>
    </row>
    <row r="482" spans="3:9">
      <c r="C482" s="165"/>
      <c r="D482" s="165"/>
      <c r="E482" s="165"/>
      <c r="F482" s="165"/>
      <c r="G482" s="165"/>
      <c r="H482" s="165"/>
    </row>
    <row r="483" spans="3:9">
      <c r="C483" s="165"/>
      <c r="D483" s="165"/>
      <c r="E483" s="165"/>
      <c r="F483" s="165"/>
      <c r="G483" s="165"/>
      <c r="H483" s="165"/>
    </row>
    <row r="484" spans="3:9">
      <c r="C484" s="165"/>
      <c r="D484" s="165"/>
      <c r="E484" s="165"/>
      <c r="F484" s="165"/>
      <c r="G484" s="165"/>
      <c r="H484" s="165"/>
    </row>
    <row r="485" spans="3:9">
      <c r="C485" s="165"/>
      <c r="D485" s="165"/>
      <c r="E485" s="165"/>
      <c r="F485" s="165"/>
      <c r="G485" s="165"/>
      <c r="H485" s="165"/>
    </row>
    <row r="486" spans="3:9">
      <c r="C486" s="165"/>
      <c r="D486" s="165"/>
      <c r="E486" s="165"/>
      <c r="F486" s="165"/>
      <c r="G486" s="165"/>
      <c r="H486" s="165"/>
      <c r="I486" s="168"/>
    </row>
    <row r="487" spans="3:9">
      <c r="C487" s="165"/>
      <c r="D487" s="165"/>
      <c r="E487" s="165"/>
      <c r="F487" s="165"/>
      <c r="G487" s="165"/>
      <c r="H487" s="165"/>
      <c r="I487" s="169"/>
    </row>
    <row r="488" spans="3:9">
      <c r="C488" s="165"/>
      <c r="D488" s="165"/>
      <c r="E488" s="165"/>
      <c r="F488" s="165"/>
      <c r="G488" s="165"/>
      <c r="H488" s="165"/>
      <c r="I488" s="168"/>
    </row>
    <row r="489" spans="3:9">
      <c r="C489" s="165"/>
      <c r="D489" s="165"/>
      <c r="E489" s="165"/>
      <c r="F489" s="165"/>
      <c r="G489" s="165"/>
      <c r="H489" s="165"/>
      <c r="I489" s="169"/>
    </row>
    <row r="490" spans="3:9">
      <c r="C490" s="165"/>
      <c r="D490" s="165"/>
      <c r="E490" s="165"/>
      <c r="F490" s="165"/>
      <c r="G490" s="165"/>
      <c r="H490" s="165"/>
    </row>
    <row r="491" spans="3:9">
      <c r="C491" s="165"/>
      <c r="D491" s="165"/>
      <c r="E491" s="165"/>
      <c r="F491" s="165"/>
      <c r="G491" s="165"/>
      <c r="H491" s="165"/>
    </row>
    <row r="492" spans="3:9">
      <c r="C492" s="165"/>
      <c r="D492" s="165"/>
      <c r="E492" s="165"/>
      <c r="F492" s="165"/>
      <c r="G492" s="165"/>
      <c r="H492" s="165"/>
    </row>
    <row r="493" spans="3:9">
      <c r="C493" s="165"/>
      <c r="D493" s="165"/>
      <c r="E493" s="165"/>
      <c r="F493" s="165"/>
      <c r="G493" s="165"/>
      <c r="H493" s="165"/>
    </row>
    <row r="494" spans="3:9">
      <c r="C494" s="165"/>
      <c r="D494" s="165"/>
      <c r="E494" s="165"/>
      <c r="F494" s="165"/>
      <c r="G494" s="165"/>
      <c r="H494" s="165"/>
    </row>
    <row r="495" spans="3:9">
      <c r="C495" s="165"/>
      <c r="D495" s="165"/>
      <c r="E495" s="165"/>
      <c r="F495" s="165"/>
      <c r="G495" s="165"/>
      <c r="H495" s="165"/>
    </row>
    <row r="496" spans="3:9">
      <c r="C496" s="165"/>
      <c r="D496" s="165"/>
      <c r="E496" s="165"/>
      <c r="F496" s="165"/>
      <c r="G496" s="165"/>
      <c r="H496" s="165"/>
    </row>
    <row r="497" spans="3:8">
      <c r="C497" s="165"/>
      <c r="D497" s="165"/>
      <c r="E497" s="165"/>
      <c r="F497" s="165"/>
      <c r="G497" s="165"/>
      <c r="H497" s="165"/>
    </row>
    <row r="498" spans="3:8">
      <c r="C498" s="165"/>
      <c r="D498" s="165"/>
      <c r="E498" s="165"/>
      <c r="F498" s="165"/>
      <c r="G498" s="165"/>
      <c r="H498" s="165"/>
    </row>
    <row r="499" spans="3:8">
      <c r="C499" s="165"/>
      <c r="D499" s="165"/>
      <c r="E499" s="165"/>
      <c r="F499" s="165"/>
      <c r="G499" s="165"/>
      <c r="H499" s="165"/>
    </row>
    <row r="500" spans="3:8">
      <c r="C500" s="165"/>
      <c r="D500" s="165"/>
      <c r="E500" s="165"/>
      <c r="F500" s="165"/>
      <c r="G500" s="165"/>
      <c r="H500" s="165"/>
    </row>
    <row r="501" spans="3:8">
      <c r="C501" s="165"/>
      <c r="D501" s="165"/>
      <c r="E501" s="165"/>
      <c r="F501" s="165"/>
      <c r="G501" s="165"/>
      <c r="H501" s="165"/>
    </row>
    <row r="502" spans="3:8">
      <c r="C502" s="165"/>
      <c r="D502" s="165"/>
      <c r="E502" s="165"/>
      <c r="F502" s="165"/>
      <c r="G502" s="165"/>
      <c r="H502" s="165"/>
    </row>
    <row r="503" spans="3:8">
      <c r="C503" s="165"/>
      <c r="D503" s="165"/>
      <c r="E503" s="165"/>
      <c r="F503" s="165"/>
      <c r="G503" s="165"/>
      <c r="H503" s="165"/>
    </row>
    <row r="504" spans="3:8">
      <c r="C504" s="165"/>
      <c r="D504" s="165"/>
      <c r="E504" s="165"/>
      <c r="F504" s="165"/>
      <c r="G504" s="165"/>
      <c r="H504" s="165"/>
    </row>
    <row r="505" spans="3:8">
      <c r="C505" s="165"/>
      <c r="D505" s="165"/>
      <c r="E505" s="165"/>
      <c r="F505" s="165"/>
      <c r="G505" s="165"/>
      <c r="H505" s="165"/>
    </row>
    <row r="506" spans="3:8">
      <c r="C506" s="165"/>
      <c r="D506" s="165"/>
      <c r="E506" s="165"/>
      <c r="F506" s="165"/>
      <c r="G506" s="165"/>
      <c r="H506" s="165"/>
    </row>
    <row r="507" spans="3:8">
      <c r="C507" s="165"/>
      <c r="D507" s="165"/>
      <c r="E507" s="165"/>
      <c r="F507" s="165"/>
      <c r="G507" s="165"/>
      <c r="H507" s="165"/>
    </row>
    <row r="508" spans="3:8">
      <c r="C508" s="165"/>
      <c r="D508" s="165"/>
      <c r="E508" s="165"/>
      <c r="F508" s="165"/>
      <c r="G508" s="165"/>
      <c r="H508" s="165"/>
    </row>
    <row r="509" spans="3:8">
      <c r="C509" s="165"/>
      <c r="D509" s="165"/>
      <c r="E509" s="165"/>
      <c r="F509" s="165"/>
      <c r="G509" s="165"/>
      <c r="H509" s="165"/>
    </row>
    <row r="510" spans="3:8">
      <c r="C510" s="165"/>
      <c r="D510" s="165"/>
      <c r="E510" s="165"/>
      <c r="F510" s="165"/>
      <c r="G510" s="165"/>
      <c r="H510" s="165"/>
    </row>
  </sheetData>
  <sheetProtection sheet="1" objects="1" scenarios="1"/>
  <phoneticPr fontId="0" type="noConversion"/>
  <printOptions horizontalCentered="1" gridLinesSet="0"/>
  <pageMargins left="0.5" right="0.5" top="1.1499999999999999" bottom="1.25" header="0.5" footer="0.5"/>
  <pageSetup scale="80" fitToHeight="100" orientation="portrait" blackAndWhite="1" horizontalDpi="180" verticalDpi="180" r:id="rId1"/>
  <headerFooter alignWithMargins="0">
    <oddHeader>&amp;LFile Name:  &amp;F&amp;RSheet Name:  &amp;A</oddHeader>
    <oddFooter>&amp;L&amp;D&amp;    &amp;T&amp;RPage  &amp;P  of  &amp;N</oddFooter>
  </headerFooter>
  <rowBreaks count="7" manualBreakCount="7">
    <brk id="47" max="65535" man="1"/>
    <brk id="95" max="65535" man="1"/>
    <brk id="143" max="65535" man="1"/>
    <brk id="191" max="65535" man="1"/>
    <brk id="239" max="65535" man="1"/>
    <brk id="287" max="65535" man="1"/>
    <brk id="3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indexed="58"/>
  </sheetPr>
  <dimension ref="B1:K19"/>
  <sheetViews>
    <sheetView showGridLines="0" showRowColHeaders="0" workbookViewId="0">
      <selection activeCell="J30" sqref="J30"/>
    </sheetView>
  </sheetViews>
  <sheetFormatPr defaultColWidth="7.08984375" defaultRowHeight="13.2"/>
  <cols>
    <col min="1" max="1" width="4.81640625" style="81" customWidth="1"/>
    <col min="2" max="2" width="2.81640625" style="81" customWidth="1"/>
    <col min="3" max="3" width="13.08984375" style="81" customWidth="1"/>
    <col min="4" max="4" width="5.1796875" style="81" customWidth="1"/>
    <col min="5" max="8" width="7.08984375" style="81"/>
    <col min="9" max="9" width="4.453125" style="81" customWidth="1"/>
    <col min="10" max="10" width="7.08984375" style="81"/>
    <col min="11" max="11" width="0" style="81" hidden="1" customWidth="1"/>
    <col min="12" max="16384" width="7.08984375" style="81"/>
  </cols>
  <sheetData>
    <row r="1" spans="2:11" ht="23.4" thickTop="1">
      <c r="B1" s="265" t="s">
        <v>45</v>
      </c>
      <c r="C1" s="266"/>
      <c r="D1" s="266"/>
      <c r="E1" s="266"/>
      <c r="F1" s="266"/>
      <c r="G1" s="266"/>
      <c r="H1" s="266"/>
      <c r="I1" s="266"/>
      <c r="J1" s="267"/>
    </row>
    <row r="2" spans="2:11">
      <c r="B2" s="271" t="s">
        <v>46</v>
      </c>
      <c r="C2" s="272"/>
      <c r="D2" s="272"/>
      <c r="E2" s="272"/>
      <c r="F2" s="272"/>
      <c r="G2" s="272"/>
      <c r="H2" s="272"/>
      <c r="I2" s="272"/>
      <c r="J2" s="273"/>
    </row>
    <row r="3" spans="2:11">
      <c r="B3" s="87"/>
      <c r="C3" s="85" t="s">
        <v>47</v>
      </c>
      <c r="D3" s="134"/>
      <c r="E3" s="84"/>
      <c r="F3" s="84"/>
      <c r="G3" s="84"/>
      <c r="H3" s="84"/>
      <c r="I3" s="84"/>
      <c r="J3" s="88"/>
    </row>
    <row r="4" spans="2:11">
      <c r="B4" s="87"/>
      <c r="C4" s="85" t="s">
        <v>48</v>
      </c>
      <c r="D4" s="134"/>
      <c r="E4" s="84"/>
      <c r="F4" s="84"/>
      <c r="G4" s="84"/>
      <c r="H4" s="84"/>
      <c r="I4" s="84"/>
      <c r="J4" s="88"/>
      <c r="K4" s="83">
        <v>2</v>
      </c>
    </row>
    <row r="5" spans="2:11">
      <c r="B5" s="87"/>
      <c r="C5" s="85" t="s">
        <v>49</v>
      </c>
      <c r="D5" s="134"/>
      <c r="E5" s="84"/>
      <c r="F5" s="86" t="s">
        <v>50</v>
      </c>
      <c r="G5" s="84"/>
      <c r="H5" s="86" t="s">
        <v>51</v>
      </c>
      <c r="I5" s="84"/>
      <c r="J5" s="88"/>
      <c r="K5" s="81">
        <f>IF(K4=1,1.2,IF(K4=2,1.4,1.8))</f>
        <v>1.4</v>
      </c>
    </row>
    <row r="6" spans="2:11">
      <c r="B6" s="87"/>
      <c r="C6" s="84"/>
      <c r="D6" s="84"/>
      <c r="E6" s="84"/>
      <c r="F6" s="86" t="str">
        <f>IF(D5="","",(((D3*4.3)+(D4*4.3)+655)-D5*4.7)*K5)</f>
        <v/>
      </c>
      <c r="G6" s="84"/>
      <c r="H6" s="86" t="str">
        <f>IF(D5="","",(((D3*6.2)+(D4*12.7)+65)-D5*6.8)*K5)</f>
        <v/>
      </c>
      <c r="I6" s="84"/>
      <c r="J6" s="88"/>
    </row>
    <row r="7" spans="2:11">
      <c r="B7" s="87"/>
      <c r="C7" s="84"/>
      <c r="D7" s="84"/>
      <c r="E7" s="84"/>
      <c r="F7" s="84"/>
      <c r="G7" s="84"/>
      <c r="H7" s="84"/>
      <c r="I7" s="84"/>
      <c r="J7" s="88"/>
    </row>
    <row r="8" spans="2:11">
      <c r="B8" s="87"/>
      <c r="C8" s="84"/>
      <c r="D8" s="84"/>
      <c r="E8" s="84"/>
      <c r="F8" s="84"/>
      <c r="G8" s="84"/>
      <c r="H8" s="84"/>
      <c r="I8" s="84"/>
      <c r="J8" s="88"/>
    </row>
    <row r="9" spans="2:11">
      <c r="B9" s="87"/>
      <c r="C9" s="84"/>
      <c r="D9" s="84"/>
      <c r="E9" s="84"/>
      <c r="F9" s="84" t="str">
        <f>IF(D3="","","Approximate daily calorie intake to")</f>
        <v/>
      </c>
      <c r="G9" s="84"/>
      <c r="H9" s="84"/>
      <c r="I9" s="84"/>
      <c r="J9" s="88"/>
    </row>
    <row r="10" spans="2:11">
      <c r="B10" s="87"/>
      <c r="C10" s="84"/>
      <c r="D10" s="84"/>
      <c r="E10" s="84"/>
      <c r="F10" s="84" t="str">
        <f>IF(D3="","",CONCATENATE("maintain a weight of ",D3," pounds."))</f>
        <v/>
      </c>
      <c r="G10" s="84"/>
      <c r="H10" s="84"/>
      <c r="I10" s="84"/>
      <c r="J10" s="88"/>
    </row>
    <row r="11" spans="2:11">
      <c r="B11" s="87"/>
      <c r="C11" s="84"/>
      <c r="D11" s="84"/>
      <c r="E11" s="84"/>
      <c r="F11" s="84"/>
      <c r="G11" s="84"/>
      <c r="H11" s="85"/>
      <c r="I11" s="86"/>
      <c r="J11" s="88"/>
    </row>
    <row r="12" spans="2:11">
      <c r="B12" s="87"/>
      <c r="C12" s="84"/>
      <c r="D12" s="84"/>
      <c r="E12" s="84"/>
      <c r="F12" s="84"/>
      <c r="G12" s="84"/>
      <c r="H12" s="85" t="str">
        <f>IF(D4="","","Your body mass index is")</f>
        <v/>
      </c>
      <c r="I12" s="86" t="str">
        <f>IF(D4="","",(D3*0.45)/((D4*0.0254)^2))</f>
        <v/>
      </c>
      <c r="J12" s="88"/>
    </row>
    <row r="13" spans="2:11">
      <c r="B13" s="87"/>
      <c r="C13" s="84"/>
      <c r="D13" s="84"/>
      <c r="E13" s="84"/>
      <c r="F13" s="84"/>
      <c r="G13" s="84"/>
      <c r="H13" s="85" t="str">
        <f>IF(D4="","","Your maximum weight should be")</f>
        <v/>
      </c>
      <c r="I13" s="86" t="str">
        <f>IF(D4="","",(((D4*0.0254)^2)/0.45)*25)</f>
        <v/>
      </c>
      <c r="J13" s="88" t="str">
        <f>IF(D4="","","pounds")</f>
        <v/>
      </c>
    </row>
    <row r="14" spans="2:11">
      <c r="B14" s="87"/>
      <c r="C14" s="84"/>
      <c r="D14" s="84"/>
      <c r="E14" s="84"/>
      <c r="F14" s="84"/>
      <c r="G14" s="84"/>
      <c r="H14" s="85" t="str">
        <f>IF(D4="","","Your minimum weight should be")</f>
        <v/>
      </c>
      <c r="I14" s="86" t="str">
        <f>IF(D4="","",(((D4*0.0254)^2)/0.45)*20)</f>
        <v/>
      </c>
      <c r="J14" s="88" t="str">
        <f>IF(D4="","","pounds")</f>
        <v/>
      </c>
    </row>
    <row r="15" spans="2:11" ht="15.75" customHeight="1" thickBot="1">
      <c r="B15" s="268"/>
      <c r="C15" s="269" t="str">
        <f>IF(D3="","","Your target body mass index should be 20 to 25.  Over 30 is considered obese.")</f>
        <v/>
      </c>
      <c r="D15" s="269"/>
      <c r="E15" s="269"/>
      <c r="F15" s="269"/>
      <c r="G15" s="269"/>
      <c r="H15" s="269"/>
      <c r="I15" s="269"/>
      <c r="J15" s="270"/>
    </row>
    <row r="16" spans="2:11" ht="13.8" thickTop="1">
      <c r="C16" s="82"/>
    </row>
    <row r="17" spans="3:3">
      <c r="C17" s="82"/>
    </row>
    <row r="18" spans="3:3">
      <c r="C18" s="82"/>
    </row>
    <row r="19" spans="3:3">
      <c r="C19" s="82"/>
    </row>
  </sheetData>
  <sheetProtection sheet="1" objects="1" scenarios="1"/>
  <phoneticPr fontId="0" type="noConversion"/>
  <printOptions horizontalCentered="1" verticalCentered="1" gridLinesSet="0"/>
  <pageMargins left="0.75" right="0.75" top="1" bottom="1" header="0.5" footer="0.5"/>
  <pageSetup orientation="landscape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print="0" autoFill="0" autoPict="0">
                <anchor moveWithCells="1">
                  <from>
                    <xdr:col>2</xdr:col>
                    <xdr:colOff>45720</xdr:colOff>
                    <xdr:row>6</xdr:row>
                    <xdr:rowOff>114300</xdr:rowOff>
                  </from>
                  <to>
                    <xdr:col>4</xdr:col>
                    <xdr:colOff>45720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print="0" autoFill="0" autoLine="0" autoPict="0">
                <anchor moveWithCells="1">
                  <from>
                    <xdr:col>2</xdr:col>
                    <xdr:colOff>68580</xdr:colOff>
                    <xdr:row>7</xdr:row>
                    <xdr:rowOff>60960</xdr:rowOff>
                  </from>
                  <to>
                    <xdr:col>3</xdr:col>
                    <xdr:colOff>45720</xdr:colOff>
                    <xdr:row>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print="0" autoFill="0" autoLine="0" autoPict="0">
                <anchor moveWithCells="1">
                  <from>
                    <xdr:col>2</xdr:col>
                    <xdr:colOff>68580</xdr:colOff>
                    <xdr:row>9</xdr:row>
                    <xdr:rowOff>38100</xdr:rowOff>
                  </from>
                  <to>
                    <xdr:col>2</xdr:col>
                    <xdr:colOff>830580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print="0" autoFill="0" autoLine="0" autoPict="0">
                <anchor moveWithCells="1">
                  <from>
                    <xdr:col>2</xdr:col>
                    <xdr:colOff>68580</xdr:colOff>
                    <xdr:row>11</xdr:row>
                    <xdr:rowOff>0</xdr:rowOff>
                  </from>
                  <to>
                    <xdr:col>3</xdr:col>
                    <xdr:colOff>7620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indexed="10"/>
    <pageSetUpPr fitToPage="1"/>
  </sheetPr>
  <dimension ref="A1:O60"/>
  <sheetViews>
    <sheetView showGridLines="0" showRowColHeaders="0" workbookViewId="0">
      <selection activeCell="F5" sqref="F5"/>
    </sheetView>
  </sheetViews>
  <sheetFormatPr defaultColWidth="7.08984375" defaultRowHeight="13.2"/>
  <cols>
    <col min="1" max="1" width="2.54296875" style="389" customWidth="1"/>
    <col min="2" max="2" width="7.54296875" style="389" customWidth="1"/>
    <col min="3" max="3" width="7.1796875" style="389" customWidth="1"/>
    <col min="4" max="5" width="6.81640625" style="389" customWidth="1"/>
    <col min="6" max="6" width="5.1796875" style="389" customWidth="1"/>
    <col min="7" max="7" width="6.90625" style="389" bestFit="1" customWidth="1"/>
    <col min="8" max="8" width="2.08984375" style="389" customWidth="1"/>
    <col min="9" max="9" width="7.54296875" style="389" customWidth="1"/>
    <col min="10" max="10" width="6" style="389" customWidth="1"/>
    <col min="11" max="12" width="6.81640625" style="389" customWidth="1"/>
    <col min="13" max="13" width="5.1796875" style="389" customWidth="1"/>
    <col min="14" max="14" width="6.81640625" style="389" customWidth="1"/>
    <col min="15" max="15" width="8.36328125" style="389" customWidth="1"/>
    <col min="16" max="16384" width="7.08984375" style="389"/>
  </cols>
  <sheetData>
    <row r="1" spans="1:10">
      <c r="B1" s="390" t="s">
        <v>673</v>
      </c>
      <c r="C1" s="581"/>
      <c r="D1" s="581"/>
      <c r="E1" s="581"/>
      <c r="F1" s="581"/>
      <c r="I1" s="392" t="s">
        <v>674</v>
      </c>
      <c r="J1" s="393" t="s">
        <v>675</v>
      </c>
    </row>
    <row r="2" spans="1:10" ht="13.8" thickBot="1">
      <c r="B2" s="394"/>
      <c r="I2" s="392" t="s">
        <v>676</v>
      </c>
    </row>
    <row r="3" spans="1:10" ht="13.8" thickBot="1">
      <c r="D3" s="395" t="s">
        <v>677</v>
      </c>
      <c r="E3" s="396"/>
      <c r="G3" s="397" t="s">
        <v>682</v>
      </c>
      <c r="I3" s="392" t="s">
        <v>678</v>
      </c>
      <c r="J3" s="393" t="s">
        <v>679</v>
      </c>
    </row>
    <row r="4" spans="1:10" ht="13.8" thickBot="1">
      <c r="B4" s="398" t="s">
        <v>680</v>
      </c>
      <c r="C4" s="398" t="s">
        <v>681</v>
      </c>
      <c r="D4" s="398" t="s">
        <v>674</v>
      </c>
      <c r="E4" s="398" t="s">
        <v>678</v>
      </c>
      <c r="F4" s="399" t="s">
        <v>682</v>
      </c>
      <c r="G4" s="400" t="s">
        <v>692</v>
      </c>
    </row>
    <row r="5" spans="1:10">
      <c r="A5" s="389">
        <v>1</v>
      </c>
      <c r="B5" s="401"/>
      <c r="C5" s="402"/>
      <c r="D5" s="403"/>
      <c r="E5" s="403"/>
      <c r="F5" s="404"/>
      <c r="G5" s="405" t="str">
        <f t="shared" ref="G5:G36" si="0">IF(AND(ISNUMBER(D5),ISNUMBER(E5))=FALSE,"",D5-E5)</f>
        <v/>
      </c>
    </row>
    <row r="6" spans="1:10">
      <c r="A6" s="389">
        <v>2</v>
      </c>
      <c r="B6" s="406"/>
      <c r="C6" s="407"/>
      <c r="D6" s="408"/>
      <c r="E6" s="408"/>
      <c r="F6" s="409"/>
      <c r="G6" s="410" t="str">
        <f t="shared" si="0"/>
        <v/>
      </c>
    </row>
    <row r="7" spans="1:10">
      <c r="A7" s="389">
        <v>3</v>
      </c>
      <c r="B7" s="406"/>
      <c r="C7" s="407"/>
      <c r="D7" s="408"/>
      <c r="E7" s="408"/>
      <c r="F7" s="409"/>
      <c r="G7" s="410" t="str">
        <f t="shared" si="0"/>
        <v/>
      </c>
    </row>
    <row r="8" spans="1:10">
      <c r="A8" s="389">
        <v>4</v>
      </c>
      <c r="B8" s="406"/>
      <c r="C8" s="407"/>
      <c r="D8" s="408"/>
      <c r="E8" s="408"/>
      <c r="F8" s="409"/>
      <c r="G8" s="410" t="str">
        <f t="shared" si="0"/>
        <v/>
      </c>
    </row>
    <row r="9" spans="1:10">
      <c r="A9" s="389">
        <v>5</v>
      </c>
      <c r="B9" s="406"/>
      <c r="C9" s="407"/>
      <c r="D9" s="408"/>
      <c r="E9" s="408"/>
      <c r="F9" s="409"/>
      <c r="G9" s="410" t="str">
        <f t="shared" si="0"/>
        <v/>
      </c>
    </row>
    <row r="10" spans="1:10">
      <c r="A10" s="389">
        <v>6</v>
      </c>
      <c r="B10" s="406"/>
      <c r="C10" s="407"/>
      <c r="D10" s="408"/>
      <c r="E10" s="408"/>
      <c r="F10" s="409"/>
      <c r="G10" s="410" t="str">
        <f t="shared" si="0"/>
        <v/>
      </c>
    </row>
    <row r="11" spans="1:10">
      <c r="A11" s="389">
        <v>7</v>
      </c>
      <c r="B11" s="406"/>
      <c r="C11" s="407"/>
      <c r="D11" s="408"/>
      <c r="E11" s="408"/>
      <c r="F11" s="409"/>
      <c r="G11" s="410" t="str">
        <f t="shared" si="0"/>
        <v/>
      </c>
    </row>
    <row r="12" spans="1:10">
      <c r="A12" s="389">
        <v>8</v>
      </c>
      <c r="B12" s="406"/>
      <c r="C12" s="407"/>
      <c r="D12" s="408"/>
      <c r="E12" s="408"/>
      <c r="F12" s="409"/>
      <c r="G12" s="410" t="str">
        <f t="shared" si="0"/>
        <v/>
      </c>
    </row>
    <row r="13" spans="1:10">
      <c r="A13" s="389">
        <v>9</v>
      </c>
      <c r="B13" s="406"/>
      <c r="C13" s="407"/>
      <c r="D13" s="408"/>
      <c r="E13" s="408"/>
      <c r="F13" s="409"/>
      <c r="G13" s="410" t="str">
        <f t="shared" si="0"/>
        <v/>
      </c>
    </row>
    <row r="14" spans="1:10">
      <c r="A14" s="389">
        <v>10</v>
      </c>
      <c r="B14" s="411"/>
      <c r="C14" s="412"/>
      <c r="D14" s="413"/>
      <c r="E14" s="413"/>
      <c r="F14" s="414"/>
      <c r="G14" s="410" t="str">
        <f t="shared" si="0"/>
        <v/>
      </c>
    </row>
    <row r="15" spans="1:10">
      <c r="A15" s="389">
        <v>11</v>
      </c>
      <c r="B15" s="411"/>
      <c r="C15" s="412"/>
      <c r="D15" s="413"/>
      <c r="E15" s="413"/>
      <c r="F15" s="414"/>
      <c r="G15" s="410" t="str">
        <f t="shared" si="0"/>
        <v/>
      </c>
    </row>
    <row r="16" spans="1:10">
      <c r="A16" s="389">
        <v>12</v>
      </c>
      <c r="B16" s="411"/>
      <c r="C16" s="412"/>
      <c r="D16" s="413"/>
      <c r="E16" s="413"/>
      <c r="F16" s="414"/>
      <c r="G16" s="410" t="str">
        <f t="shared" si="0"/>
        <v/>
      </c>
    </row>
    <row r="17" spans="1:7">
      <c r="A17" s="389">
        <v>13</v>
      </c>
      <c r="B17" s="411"/>
      <c r="C17" s="412"/>
      <c r="D17" s="413"/>
      <c r="E17" s="413"/>
      <c r="F17" s="414"/>
      <c r="G17" s="410" t="str">
        <f t="shared" si="0"/>
        <v/>
      </c>
    </row>
    <row r="18" spans="1:7">
      <c r="A18" s="389">
        <v>14</v>
      </c>
      <c r="B18" s="411"/>
      <c r="C18" s="412"/>
      <c r="D18" s="413"/>
      <c r="E18" s="413"/>
      <c r="F18" s="414"/>
      <c r="G18" s="410" t="str">
        <f t="shared" si="0"/>
        <v/>
      </c>
    </row>
    <row r="19" spans="1:7">
      <c r="A19" s="389">
        <v>15</v>
      </c>
      <c r="B19" s="411"/>
      <c r="C19" s="412"/>
      <c r="D19" s="413"/>
      <c r="E19" s="413"/>
      <c r="F19" s="414"/>
      <c r="G19" s="410" t="str">
        <f t="shared" si="0"/>
        <v/>
      </c>
    </row>
    <row r="20" spans="1:7">
      <c r="A20" s="389">
        <v>16</v>
      </c>
      <c r="B20" s="411"/>
      <c r="C20" s="412"/>
      <c r="D20" s="413"/>
      <c r="E20" s="413"/>
      <c r="F20" s="414"/>
      <c r="G20" s="410" t="str">
        <f t="shared" si="0"/>
        <v/>
      </c>
    </row>
    <row r="21" spans="1:7">
      <c r="A21" s="389">
        <v>17</v>
      </c>
      <c r="B21" s="411"/>
      <c r="C21" s="412"/>
      <c r="D21" s="413"/>
      <c r="E21" s="413"/>
      <c r="F21" s="414"/>
      <c r="G21" s="410" t="str">
        <f t="shared" si="0"/>
        <v/>
      </c>
    </row>
    <row r="22" spans="1:7">
      <c r="A22" s="389">
        <v>18</v>
      </c>
      <c r="B22" s="411"/>
      <c r="C22" s="412"/>
      <c r="D22" s="413"/>
      <c r="E22" s="413"/>
      <c r="F22" s="414"/>
      <c r="G22" s="410" t="str">
        <f t="shared" si="0"/>
        <v/>
      </c>
    </row>
    <row r="23" spans="1:7">
      <c r="A23" s="389">
        <v>19</v>
      </c>
      <c r="B23" s="411"/>
      <c r="C23" s="412"/>
      <c r="D23" s="413"/>
      <c r="E23" s="413"/>
      <c r="F23" s="414"/>
      <c r="G23" s="410" t="str">
        <f t="shared" si="0"/>
        <v/>
      </c>
    </row>
    <row r="24" spans="1:7">
      <c r="A24" s="389">
        <v>20</v>
      </c>
      <c r="B24" s="411"/>
      <c r="C24" s="412"/>
      <c r="D24" s="413"/>
      <c r="E24" s="413"/>
      <c r="F24" s="414"/>
      <c r="G24" s="410" t="str">
        <f t="shared" si="0"/>
        <v/>
      </c>
    </row>
    <row r="25" spans="1:7">
      <c r="A25" s="389">
        <v>21</v>
      </c>
      <c r="B25" s="411"/>
      <c r="C25" s="412"/>
      <c r="D25" s="413"/>
      <c r="E25" s="413"/>
      <c r="F25" s="414"/>
      <c r="G25" s="410" t="str">
        <f t="shared" si="0"/>
        <v/>
      </c>
    </row>
    <row r="26" spans="1:7">
      <c r="A26" s="389">
        <v>22</v>
      </c>
      <c r="B26" s="411"/>
      <c r="C26" s="412"/>
      <c r="D26" s="413"/>
      <c r="E26" s="413"/>
      <c r="F26" s="414"/>
      <c r="G26" s="410" t="str">
        <f t="shared" si="0"/>
        <v/>
      </c>
    </row>
    <row r="27" spans="1:7">
      <c r="A27" s="389">
        <v>23</v>
      </c>
      <c r="B27" s="411"/>
      <c r="C27" s="412"/>
      <c r="D27" s="413"/>
      <c r="E27" s="413"/>
      <c r="F27" s="414"/>
      <c r="G27" s="410" t="str">
        <f t="shared" si="0"/>
        <v/>
      </c>
    </row>
    <row r="28" spans="1:7">
      <c r="A28" s="389">
        <v>24</v>
      </c>
      <c r="B28" s="411"/>
      <c r="C28" s="412"/>
      <c r="D28" s="413"/>
      <c r="E28" s="413"/>
      <c r="F28" s="414"/>
      <c r="G28" s="410" t="str">
        <f t="shared" si="0"/>
        <v/>
      </c>
    </row>
    <row r="29" spans="1:7">
      <c r="A29" s="389">
        <v>25</v>
      </c>
      <c r="B29" s="411"/>
      <c r="C29" s="412"/>
      <c r="D29" s="413"/>
      <c r="E29" s="413"/>
      <c r="F29" s="414"/>
      <c r="G29" s="410" t="str">
        <f t="shared" si="0"/>
        <v/>
      </c>
    </row>
    <row r="30" spans="1:7">
      <c r="A30" s="389">
        <v>26</v>
      </c>
      <c r="B30" s="411"/>
      <c r="C30" s="412"/>
      <c r="D30" s="413"/>
      <c r="E30" s="413"/>
      <c r="F30" s="414"/>
      <c r="G30" s="410" t="str">
        <f t="shared" si="0"/>
        <v/>
      </c>
    </row>
    <row r="31" spans="1:7">
      <c r="A31" s="389">
        <v>27</v>
      </c>
      <c r="B31" s="411"/>
      <c r="C31" s="412"/>
      <c r="D31" s="413"/>
      <c r="E31" s="413"/>
      <c r="F31" s="414"/>
      <c r="G31" s="410" t="str">
        <f t="shared" si="0"/>
        <v/>
      </c>
    </row>
    <row r="32" spans="1:7">
      <c r="A32" s="389">
        <v>28</v>
      </c>
      <c r="B32" s="411"/>
      <c r="C32" s="412"/>
      <c r="D32" s="413"/>
      <c r="E32" s="413"/>
      <c r="F32" s="414"/>
      <c r="G32" s="410" t="str">
        <f t="shared" si="0"/>
        <v/>
      </c>
    </row>
    <row r="33" spans="1:7">
      <c r="A33" s="389">
        <v>29</v>
      </c>
      <c r="B33" s="411"/>
      <c r="C33" s="412"/>
      <c r="D33" s="413"/>
      <c r="E33" s="413"/>
      <c r="F33" s="414"/>
      <c r="G33" s="410" t="str">
        <f t="shared" si="0"/>
        <v/>
      </c>
    </row>
    <row r="34" spans="1:7">
      <c r="A34" s="389">
        <v>30</v>
      </c>
      <c r="B34" s="411"/>
      <c r="C34" s="412"/>
      <c r="D34" s="413"/>
      <c r="E34" s="413"/>
      <c r="F34" s="414"/>
      <c r="G34" s="410" t="str">
        <f t="shared" si="0"/>
        <v/>
      </c>
    </row>
    <row r="35" spans="1:7">
      <c r="A35" s="389">
        <v>31</v>
      </c>
      <c r="B35" s="411"/>
      <c r="C35" s="412"/>
      <c r="D35" s="413"/>
      <c r="E35" s="413"/>
      <c r="F35" s="414"/>
      <c r="G35" s="410" t="str">
        <f t="shared" si="0"/>
        <v/>
      </c>
    </row>
    <row r="36" spans="1:7">
      <c r="A36" s="389">
        <v>32</v>
      </c>
      <c r="B36" s="411"/>
      <c r="C36" s="412"/>
      <c r="D36" s="413"/>
      <c r="E36" s="413"/>
      <c r="F36" s="414"/>
      <c r="G36" s="410" t="str">
        <f t="shared" si="0"/>
        <v/>
      </c>
    </row>
    <row r="37" spans="1:7">
      <c r="A37" s="389">
        <v>33</v>
      </c>
      <c r="B37" s="411"/>
      <c r="C37" s="412"/>
      <c r="D37" s="413"/>
      <c r="E37" s="413"/>
      <c r="F37" s="414"/>
      <c r="G37" s="410" t="str">
        <f t="shared" ref="G37:G54" si="1">IF(AND(ISNUMBER(D37),ISNUMBER(E37))=FALSE,"",D37-E37)</f>
        <v/>
      </c>
    </row>
    <row r="38" spans="1:7">
      <c r="A38" s="389">
        <v>34</v>
      </c>
      <c r="B38" s="411"/>
      <c r="C38" s="412"/>
      <c r="D38" s="413"/>
      <c r="E38" s="413"/>
      <c r="F38" s="414"/>
      <c r="G38" s="410" t="str">
        <f t="shared" si="1"/>
        <v/>
      </c>
    </row>
    <row r="39" spans="1:7">
      <c r="A39" s="389">
        <v>35</v>
      </c>
      <c r="B39" s="411"/>
      <c r="C39" s="412"/>
      <c r="D39" s="413"/>
      <c r="E39" s="413"/>
      <c r="F39" s="414"/>
      <c r="G39" s="410" t="str">
        <f t="shared" si="1"/>
        <v/>
      </c>
    </row>
    <row r="40" spans="1:7">
      <c r="A40" s="389">
        <v>36</v>
      </c>
      <c r="B40" s="411"/>
      <c r="C40" s="412"/>
      <c r="D40" s="413"/>
      <c r="E40" s="413"/>
      <c r="F40" s="414"/>
      <c r="G40" s="410" t="str">
        <f t="shared" si="1"/>
        <v/>
      </c>
    </row>
    <row r="41" spans="1:7">
      <c r="A41" s="389">
        <v>37</v>
      </c>
      <c r="B41" s="411"/>
      <c r="C41" s="412"/>
      <c r="D41" s="413"/>
      <c r="E41" s="413"/>
      <c r="F41" s="414"/>
      <c r="G41" s="410" t="str">
        <f t="shared" si="1"/>
        <v/>
      </c>
    </row>
    <row r="42" spans="1:7">
      <c r="A42" s="389">
        <v>38</v>
      </c>
      <c r="B42" s="411"/>
      <c r="C42" s="412"/>
      <c r="D42" s="413"/>
      <c r="E42" s="413"/>
      <c r="F42" s="414"/>
      <c r="G42" s="410" t="str">
        <f t="shared" si="1"/>
        <v/>
      </c>
    </row>
    <row r="43" spans="1:7">
      <c r="A43" s="389">
        <v>39</v>
      </c>
      <c r="B43" s="411"/>
      <c r="C43" s="412"/>
      <c r="D43" s="413"/>
      <c r="E43" s="413"/>
      <c r="F43" s="414"/>
      <c r="G43" s="410" t="str">
        <f t="shared" si="1"/>
        <v/>
      </c>
    </row>
    <row r="44" spans="1:7">
      <c r="A44" s="389">
        <v>40</v>
      </c>
      <c r="B44" s="411"/>
      <c r="C44" s="412"/>
      <c r="D44" s="413"/>
      <c r="E44" s="413"/>
      <c r="F44" s="414"/>
      <c r="G44" s="410" t="str">
        <f t="shared" si="1"/>
        <v/>
      </c>
    </row>
    <row r="45" spans="1:7">
      <c r="A45" s="389">
        <v>41</v>
      </c>
      <c r="B45" s="411"/>
      <c r="C45" s="412"/>
      <c r="D45" s="413"/>
      <c r="E45" s="413"/>
      <c r="F45" s="414"/>
      <c r="G45" s="410" t="str">
        <f t="shared" si="1"/>
        <v/>
      </c>
    </row>
    <row r="46" spans="1:7">
      <c r="A46" s="389">
        <v>42</v>
      </c>
      <c r="B46" s="411"/>
      <c r="C46" s="412"/>
      <c r="D46" s="413"/>
      <c r="E46" s="413"/>
      <c r="F46" s="414"/>
      <c r="G46" s="410" t="str">
        <f t="shared" si="1"/>
        <v/>
      </c>
    </row>
    <row r="47" spans="1:7">
      <c r="A47" s="389">
        <v>43</v>
      </c>
      <c r="B47" s="411"/>
      <c r="C47" s="412"/>
      <c r="D47" s="413"/>
      <c r="E47" s="413"/>
      <c r="F47" s="414"/>
      <c r="G47" s="410" t="str">
        <f t="shared" si="1"/>
        <v/>
      </c>
    </row>
    <row r="48" spans="1:7">
      <c r="A48" s="389">
        <v>44</v>
      </c>
      <c r="B48" s="411"/>
      <c r="C48" s="412"/>
      <c r="D48" s="413"/>
      <c r="E48" s="413"/>
      <c r="F48" s="414"/>
      <c r="G48" s="410" t="str">
        <f t="shared" si="1"/>
        <v/>
      </c>
    </row>
    <row r="49" spans="1:15">
      <c r="A49" s="389">
        <v>45</v>
      </c>
      <c r="B49" s="411"/>
      <c r="C49" s="412"/>
      <c r="D49" s="413"/>
      <c r="E49" s="413"/>
      <c r="F49" s="414"/>
      <c r="G49" s="410" t="str">
        <f t="shared" si="1"/>
        <v/>
      </c>
    </row>
    <row r="50" spans="1:15">
      <c r="A50" s="389">
        <v>46</v>
      </c>
      <c r="B50" s="411"/>
      <c r="C50" s="412"/>
      <c r="D50" s="413"/>
      <c r="E50" s="413"/>
      <c r="F50" s="414"/>
      <c r="G50" s="410" t="str">
        <f t="shared" si="1"/>
        <v/>
      </c>
    </row>
    <row r="51" spans="1:15">
      <c r="A51" s="389">
        <v>47</v>
      </c>
      <c r="B51" s="411"/>
      <c r="C51" s="412"/>
      <c r="D51" s="413"/>
      <c r="E51" s="413"/>
      <c r="F51" s="414"/>
      <c r="G51" s="410" t="str">
        <f t="shared" si="1"/>
        <v/>
      </c>
    </row>
    <row r="52" spans="1:15">
      <c r="A52" s="389">
        <v>48</v>
      </c>
      <c r="B52" s="411"/>
      <c r="C52" s="412"/>
      <c r="D52" s="413"/>
      <c r="E52" s="413"/>
      <c r="F52" s="414"/>
      <c r="G52" s="410" t="str">
        <f t="shared" si="1"/>
        <v/>
      </c>
    </row>
    <row r="53" spans="1:15">
      <c r="A53" s="389">
        <v>49</v>
      </c>
      <c r="B53" s="411"/>
      <c r="C53" s="412"/>
      <c r="D53" s="413"/>
      <c r="E53" s="413"/>
      <c r="F53" s="414"/>
      <c r="G53" s="410" t="str">
        <f t="shared" si="1"/>
        <v/>
      </c>
    </row>
    <row r="54" spans="1:15" ht="13.8" thickBot="1">
      <c r="A54" s="389">
        <v>50</v>
      </c>
      <c r="B54" s="415"/>
      <c r="C54" s="416"/>
      <c r="D54" s="417"/>
      <c r="E54" s="417"/>
      <c r="F54" s="418"/>
      <c r="G54" s="419" t="str">
        <f t="shared" si="1"/>
        <v/>
      </c>
    </row>
    <row r="55" spans="1:15" ht="13.8" thickBot="1">
      <c r="C55" s="390" t="s">
        <v>683</v>
      </c>
      <c r="D55" s="420" t="str">
        <f>IF(SUM(D5:D54)=0,"",MIN(D5:D54))</f>
        <v/>
      </c>
      <c r="E55" s="421" t="str">
        <f>IF(SUM(E5:E54)=0,"",MIN(E5:E54))</f>
        <v/>
      </c>
      <c r="F55" s="422" t="str">
        <f>IF(SUM(F5:F54)=0,"",MIN(F5:F54))</f>
        <v/>
      </c>
      <c r="G55" s="423"/>
      <c r="J55" s="424" t="s">
        <v>674</v>
      </c>
      <c r="L55" s="424" t="s">
        <v>678</v>
      </c>
    </row>
    <row r="56" spans="1:15">
      <c r="C56" s="390" t="s">
        <v>684</v>
      </c>
      <c r="D56" s="425" t="str">
        <f>IF(SUM(D5:D54)=0,"",MAX(D5:D54))</f>
        <v/>
      </c>
      <c r="E56" s="426" t="str">
        <f>IF(SUM(E5:E54)=0,"",MAX(E5:E54))</f>
        <v/>
      </c>
      <c r="F56" s="427" t="str">
        <f>IF(SUM(F5:F54)=0,"",MAX(F5:F54))</f>
        <v/>
      </c>
      <c r="G56" s="423"/>
      <c r="I56" s="390" t="s">
        <v>685</v>
      </c>
      <c r="J56" s="428" t="s">
        <v>686</v>
      </c>
      <c r="K56" s="429"/>
      <c r="L56" s="430" t="s">
        <v>687</v>
      </c>
      <c r="M56" s="431"/>
      <c r="O56" s="397" t="s">
        <v>699</v>
      </c>
    </row>
    <row r="57" spans="1:15">
      <c r="C57" s="390" t="s">
        <v>688</v>
      </c>
      <c r="D57" s="425" t="str">
        <f>IF(SUM(D5:D54)=0,"",D56-D55)</f>
        <v/>
      </c>
      <c r="E57" s="426" t="str">
        <f>IF(SUM(E5:E54)=0,"",E56-E55)</f>
        <v/>
      </c>
      <c r="F57" s="427" t="str">
        <f>IF(SUM(F5:F54)=0,"",F56-F55)</f>
        <v/>
      </c>
      <c r="G57" s="423"/>
      <c r="I57" s="390" t="s">
        <v>689</v>
      </c>
      <c r="J57" s="432" t="s">
        <v>690</v>
      </c>
      <c r="K57" s="433"/>
      <c r="L57" s="434" t="s">
        <v>691</v>
      </c>
      <c r="M57" s="435"/>
      <c r="O57" s="436" t="s">
        <v>692</v>
      </c>
    </row>
    <row r="58" spans="1:15" ht="13.8" thickBot="1">
      <c r="C58" s="390" t="s">
        <v>693</v>
      </c>
      <c r="D58" s="437" t="str">
        <f>IF(SUM(D5:D54)=0,"",AVERAGE(D5:D54))</f>
        <v/>
      </c>
      <c r="E58" s="438" t="str">
        <f>IF(SUM(E5:E54)=0,"",AVERAGE(E5:E54))</f>
        <v/>
      </c>
      <c r="F58" s="439" t="str">
        <f>IF(SUM(F5:F54)=0,"",AVERAGE(F5:F54))</f>
        <v/>
      </c>
      <c r="G58" s="440"/>
      <c r="I58" s="390" t="s">
        <v>694</v>
      </c>
      <c r="J58" s="441" t="s">
        <v>695</v>
      </c>
      <c r="K58" s="391"/>
      <c r="L58" s="442" t="s">
        <v>696</v>
      </c>
      <c r="M58" s="443"/>
      <c r="O58" s="444" t="str">
        <f>IF(SUM(D5:E54)=0,"",D58-E58)</f>
        <v/>
      </c>
    </row>
    <row r="59" spans="1:15" ht="13.8" thickBot="1">
      <c r="C59" s="390" t="s">
        <v>697</v>
      </c>
      <c r="D59" s="445" t="str">
        <f>IF(COUNTA(D5:D54)&gt;1,STDEV(D5:D54),"")</f>
        <v/>
      </c>
      <c r="E59" s="446" t="str">
        <f>IF(COUNTA(E5:E54)&gt;1,STDEV(E5:E54),"")</f>
        <v/>
      </c>
      <c r="F59" s="447" t="str">
        <f>IF(COUNTA(F5:F54)&gt;1,STDEV(F5:F54),"")</f>
        <v/>
      </c>
      <c r="G59" s="448"/>
      <c r="I59" s="449" t="s">
        <v>698</v>
      </c>
    </row>
    <row r="60" spans="1:15">
      <c r="J60" s="390"/>
    </row>
  </sheetData>
  <sheetProtection sheet="1" objects="1" scenarios="1"/>
  <mergeCells count="1">
    <mergeCell ref="C1:F1"/>
  </mergeCells>
  <phoneticPr fontId="2" type="noConversion"/>
  <printOptions horizontalCentered="1" verticalCentered="1"/>
  <pageMargins left="0.5" right="0.5" top="0.75" bottom="0.75" header="0.5" footer="0.5"/>
  <pageSetup scale="80" orientation="portrait" horizontalDpi="300" verticalDpi="300" r:id="rId1"/>
  <headerFooter alignWithMargins="0">
    <oddFooter>&amp;LFile Name: &amp;F&amp;CSheet Name: &amp;A&amp;R&amp;D   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5">
    <tabColor indexed="46"/>
  </sheetPr>
  <dimension ref="B1:I21"/>
  <sheetViews>
    <sheetView showGridLines="0" showRowColHeaders="0" zoomScale="75" workbookViewId="0">
      <selection activeCell="L2" sqref="L2"/>
    </sheetView>
  </sheetViews>
  <sheetFormatPr defaultColWidth="9.81640625" defaultRowHeight="15"/>
  <cols>
    <col min="1" max="1" width="1.81640625" customWidth="1"/>
    <col min="2" max="4" width="10.81640625" customWidth="1"/>
    <col min="5" max="5" width="9.81640625" customWidth="1"/>
    <col min="6" max="6" width="10.81640625" customWidth="1"/>
    <col min="7" max="7" width="10.36328125" customWidth="1"/>
    <col min="8" max="9" width="10.81640625" customWidth="1"/>
    <col min="10" max="13" width="9.81640625" customWidth="1"/>
  </cols>
  <sheetData>
    <row r="1" spans="2:9" ht="23.4" thickTop="1">
      <c r="B1" s="7" t="s">
        <v>52</v>
      </c>
      <c r="C1" s="8"/>
      <c r="D1" s="8"/>
      <c r="E1" s="8"/>
      <c r="F1" s="8"/>
      <c r="G1" s="8"/>
      <c r="H1" s="8"/>
      <c r="I1" s="9"/>
    </row>
    <row r="2" spans="2:9" ht="15.6">
      <c r="B2" s="10" t="s">
        <v>53</v>
      </c>
      <c r="C2" s="11"/>
      <c r="D2" s="11"/>
      <c r="E2" s="4"/>
      <c r="F2" s="12" t="s">
        <v>54</v>
      </c>
      <c r="G2" s="11"/>
      <c r="H2" s="11"/>
      <c r="I2" s="13"/>
    </row>
    <row r="3" spans="2:9">
      <c r="B3" s="14"/>
      <c r="C3" s="15" t="s">
        <v>55</v>
      </c>
      <c r="D3" s="16" t="str">
        <f>IF(B3="","",+B3/25.4)</f>
        <v/>
      </c>
      <c r="E3" s="5" t="s">
        <v>56</v>
      </c>
      <c r="F3" s="3"/>
      <c r="G3" s="15" t="s">
        <v>57</v>
      </c>
      <c r="H3" s="16" t="str">
        <f>IF(F3="","",+F3*25.4)</f>
        <v/>
      </c>
      <c r="I3" s="17" t="s">
        <v>58</v>
      </c>
    </row>
    <row r="4" spans="2:9">
      <c r="B4" s="14"/>
      <c r="C4" s="15" t="s">
        <v>59</v>
      </c>
      <c r="D4" s="16" t="str">
        <f>IF(B4="","",+B4/2.54)</f>
        <v/>
      </c>
      <c r="E4" s="5" t="s">
        <v>56</v>
      </c>
      <c r="F4" s="3"/>
      <c r="G4" s="15" t="s">
        <v>57</v>
      </c>
      <c r="H4" s="16" t="str">
        <f>IF(F4="","",+F4*2.54)</f>
        <v/>
      </c>
      <c r="I4" s="17" t="s">
        <v>60</v>
      </c>
    </row>
    <row r="5" spans="2:9">
      <c r="B5" s="14"/>
      <c r="C5" s="15" t="s">
        <v>61</v>
      </c>
      <c r="D5" s="18" t="str">
        <f>IF(B5="","",SUM(B5/0.3048))</f>
        <v/>
      </c>
      <c r="E5" s="5" t="s">
        <v>62</v>
      </c>
      <c r="F5" s="3"/>
      <c r="G5" s="15" t="s">
        <v>63</v>
      </c>
      <c r="H5" s="18" t="str">
        <f>IF(F5="","",SUM(F5*0.3048))</f>
        <v/>
      </c>
      <c r="I5" s="17" t="s">
        <v>64</v>
      </c>
    </row>
    <row r="6" spans="2:9">
      <c r="B6" s="14"/>
      <c r="C6" s="15" t="s">
        <v>61</v>
      </c>
      <c r="D6" s="18" t="str">
        <f>IF(B6="","",SUM(B6/0.9144))</f>
        <v/>
      </c>
      <c r="E6" s="5" t="s">
        <v>65</v>
      </c>
      <c r="F6" s="3"/>
      <c r="G6" s="15" t="s">
        <v>66</v>
      </c>
      <c r="H6" s="18" t="str">
        <f>IF(F6="","",SUM(F6*0.9144))</f>
        <v/>
      </c>
      <c r="I6" s="17" t="s">
        <v>64</v>
      </c>
    </row>
    <row r="7" spans="2:9">
      <c r="B7" s="14"/>
      <c r="C7" s="15" t="s">
        <v>67</v>
      </c>
      <c r="D7" s="16" t="str">
        <f>IF(B7="","",+B7/1.609344)</f>
        <v/>
      </c>
      <c r="E7" s="5" t="s">
        <v>68</v>
      </c>
      <c r="F7" s="3"/>
      <c r="G7" s="15" t="s">
        <v>69</v>
      </c>
      <c r="H7" s="16" t="str">
        <f>IF(F7="","",+F7*1.609344)</f>
        <v/>
      </c>
      <c r="I7" s="17" t="s">
        <v>70</v>
      </c>
    </row>
    <row r="8" spans="2:9">
      <c r="B8" s="14"/>
      <c r="C8" s="15" t="s">
        <v>71</v>
      </c>
      <c r="D8" s="16" t="str">
        <f>IF(ISBLANK(B8),"",((9/5)*B8)+32)</f>
        <v/>
      </c>
      <c r="E8" s="5" t="s">
        <v>72</v>
      </c>
      <c r="F8" s="3"/>
      <c r="G8" s="15" t="s">
        <v>73</v>
      </c>
      <c r="H8" s="16" t="str">
        <f>IF(ISBLANK(F8),"",(5/9)*(F8-32))</f>
        <v/>
      </c>
      <c r="I8" s="17" t="s">
        <v>74</v>
      </c>
    </row>
    <row r="9" spans="2:9">
      <c r="B9" s="14"/>
      <c r="C9" s="15" t="s">
        <v>75</v>
      </c>
      <c r="D9" s="16" t="str">
        <f>IF(B9="","",+B9*0.03527397)</f>
        <v/>
      </c>
      <c r="E9" s="5" t="s">
        <v>76</v>
      </c>
      <c r="F9" s="3"/>
      <c r="G9" s="15" t="s">
        <v>77</v>
      </c>
      <c r="H9" s="16" t="str">
        <f>IF(F9="","",+F9/0.03527397)</f>
        <v/>
      </c>
      <c r="I9" s="17" t="s">
        <v>78</v>
      </c>
    </row>
    <row r="10" spans="2:9">
      <c r="B10" s="14"/>
      <c r="C10" s="15" t="s">
        <v>79</v>
      </c>
      <c r="D10" s="18" t="str">
        <f>IF(B10="","",B10/0.4535924)</f>
        <v/>
      </c>
      <c r="E10" s="5" t="s">
        <v>80</v>
      </c>
      <c r="F10" s="3"/>
      <c r="G10" s="15" t="s">
        <v>81</v>
      </c>
      <c r="H10" s="18" t="str">
        <f>IF(F10="","",F10*0.4535924)</f>
        <v/>
      </c>
      <c r="I10" s="17" t="s">
        <v>82</v>
      </c>
    </row>
    <row r="11" spans="2:9">
      <c r="B11" s="14"/>
      <c r="C11" s="15" t="s">
        <v>83</v>
      </c>
      <c r="D11" s="16" t="str">
        <f>IF(B11="","",+B11*1.056688)</f>
        <v/>
      </c>
      <c r="E11" s="5" t="s">
        <v>84</v>
      </c>
      <c r="F11" s="3"/>
      <c r="G11" s="15" t="s">
        <v>85</v>
      </c>
      <c r="H11" s="16" t="str">
        <f>IF(F11="","",+F11/1.056668)</f>
        <v/>
      </c>
      <c r="I11" s="17" t="s">
        <v>86</v>
      </c>
    </row>
    <row r="12" spans="2:9">
      <c r="B12" s="14"/>
      <c r="C12" s="15" t="s">
        <v>83</v>
      </c>
      <c r="D12" s="16" t="str">
        <f>IF(B12="","",+B12*0.264172)</f>
        <v/>
      </c>
      <c r="E12" s="5" t="s">
        <v>87</v>
      </c>
      <c r="F12" s="3"/>
      <c r="G12" s="15" t="s">
        <v>88</v>
      </c>
      <c r="H12" s="16" t="str">
        <f>IF(F12="","",+F12/0.264172)</f>
        <v/>
      </c>
      <c r="I12" s="17" t="s">
        <v>86</v>
      </c>
    </row>
    <row r="13" spans="2:9">
      <c r="B13" s="14"/>
      <c r="C13" s="18"/>
      <c r="D13" s="18"/>
      <c r="E13" s="6"/>
      <c r="F13" s="3"/>
      <c r="G13" s="18"/>
      <c r="H13" s="18"/>
      <c r="I13" s="19"/>
    </row>
    <row r="14" spans="2:9">
      <c r="B14" s="14"/>
      <c r="C14" s="18"/>
      <c r="D14" s="18"/>
      <c r="E14" s="6"/>
      <c r="F14" s="3"/>
      <c r="G14" s="18"/>
      <c r="H14" s="18"/>
      <c r="I14" s="19"/>
    </row>
    <row r="15" spans="2:9">
      <c r="B15" s="14"/>
      <c r="C15" s="18"/>
      <c r="D15" s="18"/>
      <c r="E15" s="6"/>
      <c r="F15" s="3"/>
      <c r="G15" s="18"/>
      <c r="H15" s="18"/>
      <c r="I15" s="19"/>
    </row>
    <row r="16" spans="2:9">
      <c r="B16" s="14"/>
      <c r="C16" s="18"/>
      <c r="D16" s="18"/>
      <c r="E16" s="6"/>
      <c r="F16" s="3"/>
      <c r="G16" s="18"/>
      <c r="H16" s="18"/>
      <c r="I16" s="19"/>
    </row>
    <row r="17" spans="2:9">
      <c r="B17" s="14"/>
      <c r="C17" s="18"/>
      <c r="D17" s="18"/>
      <c r="E17" s="6"/>
      <c r="F17" s="3"/>
      <c r="G17" s="18"/>
      <c r="H17" s="18"/>
      <c r="I17" s="19"/>
    </row>
    <row r="18" spans="2:9">
      <c r="B18" s="14"/>
      <c r="C18" s="18"/>
      <c r="D18" s="18"/>
      <c r="E18" s="6"/>
      <c r="F18" s="3"/>
      <c r="G18" s="18"/>
      <c r="H18" s="18"/>
      <c r="I18" s="19"/>
    </row>
    <row r="19" spans="2:9">
      <c r="B19" s="14"/>
      <c r="C19" s="18"/>
      <c r="D19" s="18"/>
      <c r="E19" s="6"/>
      <c r="F19" s="3"/>
      <c r="G19" s="18"/>
      <c r="H19" s="18"/>
      <c r="I19" s="19"/>
    </row>
    <row r="20" spans="2:9" ht="15.6" thickBot="1">
      <c r="B20" s="20"/>
      <c r="C20" s="21" t="s">
        <v>89</v>
      </c>
      <c r="D20" s="21" t="str">
        <f>IF(B20="","",+B20*0.0174532925199433)</f>
        <v/>
      </c>
      <c r="E20" s="22" t="s">
        <v>90</v>
      </c>
      <c r="F20" s="23"/>
      <c r="G20" s="21" t="s">
        <v>91</v>
      </c>
      <c r="H20" s="21" t="str">
        <f>IF(F20="","",+F20/0.0174532925199433)</f>
        <v/>
      </c>
      <c r="I20" s="24" t="s">
        <v>92</v>
      </c>
    </row>
    <row r="21" spans="2:9" ht="15.6" thickTop="1"/>
  </sheetData>
  <sheetProtection sheet="1" objects="1" scenarios="1"/>
  <phoneticPr fontId="0" type="noConversion"/>
  <printOptions horizontalCentered="1" verticalCentered="1" gridLinesSet="0"/>
  <pageMargins left="0.5" right="0.5" top="0.5" bottom="0.5" header="0.5" footer="0.5"/>
  <pageSetup orientation="landscape" blackAndWhite="1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indexed="41"/>
  </sheetPr>
  <dimension ref="B2:C9"/>
  <sheetViews>
    <sheetView showGridLines="0" showRowColHeaders="0" workbookViewId="0">
      <selection activeCell="B6" sqref="B6"/>
    </sheetView>
  </sheetViews>
  <sheetFormatPr defaultRowHeight="15"/>
  <cols>
    <col min="1" max="1" width="4.36328125" customWidth="1"/>
    <col min="2" max="2" width="20.81640625" customWidth="1"/>
    <col min="3" max="3" width="50.81640625" customWidth="1"/>
    <col min="4" max="4" width="9.81640625" customWidth="1"/>
  </cols>
  <sheetData>
    <row r="2" spans="2:3" ht="21">
      <c r="B2" s="319" t="s">
        <v>93</v>
      </c>
      <c r="C2" s="320"/>
    </row>
    <row r="3" spans="2:3">
      <c r="B3" s="308" t="s">
        <v>94</v>
      </c>
      <c r="C3" s="307" t="s">
        <v>95</v>
      </c>
    </row>
    <row r="4" spans="2:3" ht="17.100000000000001" customHeight="1">
      <c r="B4" s="308"/>
      <c r="C4" s="307"/>
    </row>
    <row r="5" spans="2:3">
      <c r="B5" s="308"/>
      <c r="C5" s="307" t="str">
        <f>IF(B6="","Select the desired conversion from the drop down list above.","")</f>
        <v>Select the desired conversion from the drop down list above.</v>
      </c>
    </row>
    <row r="6" spans="2:3">
      <c r="B6" s="322"/>
      <c r="C6" s="307" t="str">
        <f>IF(B6="","Enter the amount to convert in the white cell to the left.",Data!S26)</f>
        <v>Enter the amount to convert in the white cell to the left.</v>
      </c>
    </row>
    <row r="7" spans="2:3">
      <c r="B7" s="321" t="str">
        <f>IF(B6="","","x  "&amp;Data!S28)</f>
        <v/>
      </c>
      <c r="C7" s="307" t="str">
        <f>IF(B6="","The multiplier will automatically appear here.","is the multiplier")</f>
        <v>The multiplier will automatically appear here.</v>
      </c>
    </row>
    <row r="8" spans="2:3">
      <c r="B8" s="308" t="str">
        <f>Data!S29</f>
        <v/>
      </c>
      <c r="C8" s="307" t="str">
        <f>IF(B6="","This is where the conversion is calculated.",Data!S27)</f>
        <v>This is where the conversion is calculated.</v>
      </c>
    </row>
    <row r="9" spans="2:3">
      <c r="B9" s="310"/>
      <c r="C9" s="312"/>
    </row>
  </sheetData>
  <sheetProtection sheet="1" objects="1" scenarios="1"/>
  <phoneticPr fontId="0" type="noConversion"/>
  <printOptions horizontalCentered="1" verticalCentered="1"/>
  <pageMargins left="0.75" right="0.75" top="1" bottom="1" header="0.5" footer="0.5"/>
  <pageSetup orientation="landscape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7">
    <tabColor indexed="43"/>
  </sheetPr>
  <dimension ref="B1:I21"/>
  <sheetViews>
    <sheetView showGridLines="0" showRowColHeaders="0" zoomScale="74" workbookViewId="0">
      <selection activeCell="P50" sqref="P50"/>
    </sheetView>
  </sheetViews>
  <sheetFormatPr defaultColWidth="9.81640625" defaultRowHeight="15"/>
  <cols>
    <col min="1" max="1" width="10.81640625" customWidth="1"/>
    <col min="2" max="2" width="3.81640625" customWidth="1"/>
    <col min="3" max="3" width="10.81640625" customWidth="1"/>
    <col min="4" max="4" width="5.81640625" customWidth="1"/>
    <col min="5" max="9" width="10.81640625" customWidth="1"/>
    <col min="11" max="11" width="8.81640625" customWidth="1"/>
  </cols>
  <sheetData>
    <row r="1" spans="2:9" ht="22.8">
      <c r="B1" s="58" t="s">
        <v>96</v>
      </c>
      <c r="C1" s="59"/>
      <c r="D1" s="59"/>
      <c r="E1" s="59"/>
      <c r="F1" s="59"/>
      <c r="G1" s="59"/>
      <c r="H1" s="59"/>
      <c r="I1" s="60"/>
    </row>
    <row r="2" spans="2:9" ht="14.1" customHeight="1">
      <c r="B2" s="61" t="s">
        <v>97</v>
      </c>
      <c r="C2" s="11"/>
      <c r="D2" s="11"/>
      <c r="E2" s="11"/>
      <c r="F2" s="11"/>
      <c r="G2" s="11"/>
      <c r="H2" s="11"/>
      <c r="I2" s="62"/>
    </row>
    <row r="3" spans="2:9">
      <c r="B3" s="63"/>
      <c r="C3" s="18"/>
      <c r="D3" s="18"/>
      <c r="E3" s="18"/>
      <c r="F3" s="18"/>
      <c r="G3" s="18"/>
      <c r="H3" s="11" t="s">
        <v>90</v>
      </c>
      <c r="I3" s="62"/>
    </row>
    <row r="4" spans="2:9">
      <c r="B4" s="63"/>
      <c r="C4" s="18"/>
      <c r="D4" s="18"/>
      <c r="E4" s="161" t="s">
        <v>98</v>
      </c>
      <c r="F4" s="161" t="s">
        <v>99</v>
      </c>
      <c r="G4" s="161" t="s">
        <v>100</v>
      </c>
      <c r="H4" s="162" t="s">
        <v>101</v>
      </c>
      <c r="I4" s="163" t="s">
        <v>102</v>
      </c>
    </row>
    <row r="5" spans="2:9">
      <c r="B5" s="64" t="s">
        <v>103</v>
      </c>
      <c r="C5" s="3"/>
      <c r="D5" s="18"/>
      <c r="E5" s="159" t="str">
        <f>IF(OR(C6="",C7=""),"",SQRT((C7*C7)-(C6*C6)))</f>
        <v/>
      </c>
      <c r="F5" s="159" t="str">
        <f>IF(OR(C5="",C7=""),"",SQRT((C7*C7)-(C5*C5)))</f>
        <v/>
      </c>
      <c r="G5" s="159" t="str">
        <f>IF(OR(C5="",C6=""),"",SQRT((C5*C5)+(C6*C6)))</f>
        <v/>
      </c>
      <c r="H5" s="160" t="str">
        <f>IF(OR(C5="",C6=""),"",ATAN(SUM(C6/C5))*180/PI())</f>
        <v/>
      </c>
      <c r="I5" s="158" t="str">
        <f>IF(OR(C5="",C6=""),"",SUM(90-H5))</f>
        <v/>
      </c>
    </row>
    <row r="6" spans="2:9">
      <c r="B6" s="64" t="s">
        <v>104</v>
      </c>
      <c r="C6" s="3"/>
      <c r="D6" s="18"/>
      <c r="E6" s="159" t="str">
        <f>IF(OR(C7="",C10=""),"",SUM(C7*COS((C10)/180*PI())))</f>
        <v/>
      </c>
      <c r="F6" s="159" t="str">
        <f>IF(OR(C7="",C10=""),"",SUM(C7*SIN((C10)/180*PI())))</f>
        <v/>
      </c>
      <c r="G6" s="159" t="str">
        <f>IF(OR(C6="",C10=""),"",SUM(C6/SIN((C10)/180*PI())))</f>
        <v/>
      </c>
      <c r="H6" s="160" t="str">
        <f>IF(OR(C5="",C7=""),"",SUM(90-I6))</f>
        <v/>
      </c>
      <c r="I6" s="158" t="str">
        <f>IF(OR(C5="",C7=""),"",ASIN(SUM(C5/C7))*180/PI())</f>
        <v/>
      </c>
    </row>
    <row r="7" spans="2:9">
      <c r="B7" s="64" t="s">
        <v>105</v>
      </c>
      <c r="C7" s="3"/>
      <c r="D7" s="18"/>
      <c r="E7" s="159" t="str">
        <f>IF(OR(C7="",C11=""),"",SUM(C7*SIN((C11)/180*PI())))</f>
        <v/>
      </c>
      <c r="F7" s="159" t="str">
        <f>IF(OR(C7="",C11=""),"",SUM(C7*COS((C11)/180*PI())))</f>
        <v/>
      </c>
      <c r="G7" s="159" t="str">
        <f>IF(OR(C6="",C11=""),"",SUM(C6/COS((C11)/180*PI())))</f>
        <v/>
      </c>
      <c r="H7" s="160" t="str">
        <f>IF(OR(C6="",C7=""),"",ASIN(SUM(C6/C7))*180/PI())</f>
        <v/>
      </c>
      <c r="I7" s="158" t="str">
        <f>IF(OR(C6="",C7=""),"",SUM(90-H7))</f>
        <v/>
      </c>
    </row>
    <row r="8" spans="2:9">
      <c r="B8" s="63"/>
      <c r="C8" s="18"/>
      <c r="D8" s="18"/>
      <c r="E8" s="159" t="str">
        <f>IF(OR(C6="",C10=""),"",SUM(C6*TAN((90-C10)/180*PI())))</f>
        <v/>
      </c>
      <c r="F8" s="159" t="str">
        <f>IF(OR(C5="",C10=""),"",SUM(C5*TAN((C10)/180*PI())))</f>
        <v/>
      </c>
      <c r="G8" s="159" t="str">
        <f>IF(OR(C5="",C10=""),"",SUM(C5/COS((C10)/180*PI())))</f>
        <v/>
      </c>
      <c r="H8" s="160" t="str">
        <f>IF(OR(C7="",C11=""),"",SUM(90-C11))</f>
        <v/>
      </c>
      <c r="I8" s="158" t="str">
        <f>IF(OR(C7="",C10=""),"",SUM(90-C10))</f>
        <v/>
      </c>
    </row>
    <row r="9" spans="2:9">
      <c r="B9" s="64" t="s">
        <v>106</v>
      </c>
      <c r="C9" s="18">
        <v>90</v>
      </c>
      <c r="D9" s="18"/>
      <c r="E9" s="159" t="str">
        <f>IF(OR(C6="",C11=""),"",SUM(C6*TAN((C11)/180*PI())))</f>
        <v/>
      </c>
      <c r="F9" s="159" t="str">
        <f>IF(OR(C5="",C11=""),"",SUM(C5*TAN((90-C11)/180*PI())))</f>
        <v/>
      </c>
      <c r="G9" s="159" t="str">
        <f>IF(OR(C5="",C11=""),"",SUM(C5/SIN((C11)/180*PI())))</f>
        <v/>
      </c>
      <c r="H9" s="160" t="str">
        <f>IF(OR(C6="",C11=""),"",SUM(90-C11))</f>
        <v/>
      </c>
      <c r="I9" s="158" t="str">
        <f>IF(OR(C6="",C10=""),"",SUM(90-C10))</f>
        <v/>
      </c>
    </row>
    <row r="10" spans="2:9">
      <c r="B10" s="64" t="s">
        <v>107</v>
      </c>
      <c r="C10" s="3"/>
      <c r="D10" s="51" t="str">
        <f>IF(OR(C10="",C11=""),"","This will not work with 2 angles entered")</f>
        <v/>
      </c>
      <c r="E10" s="159"/>
      <c r="F10" s="159"/>
      <c r="G10" s="159"/>
      <c r="H10" s="160" t="str">
        <f>IF(OR(C5="",C11=""),"",SUM(90-C11))</f>
        <v/>
      </c>
      <c r="I10" s="158" t="str">
        <f>IF(OR(C5="",C10=""),"",SUM(90-C10))</f>
        <v/>
      </c>
    </row>
    <row r="11" spans="2:9">
      <c r="B11" s="64" t="s">
        <v>108</v>
      </c>
      <c r="C11" s="3"/>
      <c r="D11" s="18"/>
      <c r="E11" s="95"/>
      <c r="F11" s="95"/>
      <c r="G11" s="95"/>
      <c r="H11" s="11"/>
      <c r="I11" s="62"/>
    </row>
    <row r="12" spans="2:9" ht="15.6">
      <c r="B12" s="63"/>
      <c r="C12" s="18"/>
      <c r="D12" s="18"/>
      <c r="E12" s="98" t="s">
        <v>109</v>
      </c>
      <c r="F12" s="99"/>
      <c r="G12" s="99"/>
      <c r="H12" s="100"/>
      <c r="I12" s="101"/>
    </row>
    <row r="13" spans="2:9" ht="12" customHeight="1">
      <c r="B13" s="63"/>
      <c r="C13" s="18"/>
      <c r="D13" s="18"/>
      <c r="E13" s="122" t="s">
        <v>110</v>
      </c>
      <c r="F13" s="102"/>
      <c r="G13" s="102"/>
      <c r="H13" s="103"/>
      <c r="I13" s="104"/>
    </row>
    <row r="14" spans="2:9">
      <c r="B14" s="63"/>
      <c r="C14" s="18"/>
      <c r="D14" s="18"/>
      <c r="E14" s="105">
        <f>IF(G14="","",+G14)</f>
        <v>6</v>
      </c>
      <c r="F14" s="106" t="s">
        <v>90</v>
      </c>
      <c r="G14" s="3">
        <v>6</v>
      </c>
      <c r="H14" s="107">
        <f>IF(G14+G15+G16="","",TRUNC(E14))</f>
        <v>6</v>
      </c>
      <c r="I14" s="108" t="s">
        <v>90</v>
      </c>
    </row>
    <row r="15" spans="2:9">
      <c r="B15" s="66" t="s">
        <v>101</v>
      </c>
      <c r="C15" s="18"/>
      <c r="D15" s="18"/>
      <c r="E15" s="105">
        <f>IF(G15="","",G15/60)</f>
        <v>0.41666666666666669</v>
      </c>
      <c r="F15" s="106" t="s">
        <v>111</v>
      </c>
      <c r="G15" s="3">
        <v>25</v>
      </c>
      <c r="H15" s="107">
        <f>IF(G14+G15+G16="","",TRUNC((E17-H14)*60))</f>
        <v>25</v>
      </c>
      <c r="I15" s="108" t="s">
        <v>111</v>
      </c>
    </row>
    <row r="16" spans="2:9">
      <c r="B16" s="63"/>
      <c r="C16" s="18"/>
      <c r="D16" s="18"/>
      <c r="E16" s="109" t="str">
        <f>IF(G16="","",G16/3600)</f>
        <v/>
      </c>
      <c r="F16" s="106" t="s">
        <v>112</v>
      </c>
      <c r="G16" s="3"/>
      <c r="H16" s="133">
        <f>IF(G14+G15+G16="","",((E17-H14)*60-H15)*60)</f>
        <v>1.0658141036401503E-12</v>
      </c>
      <c r="I16" s="108" t="s">
        <v>112</v>
      </c>
    </row>
    <row r="17" spans="2:9">
      <c r="B17" s="63"/>
      <c r="C17" s="18"/>
      <c r="D17" s="15" t="s">
        <v>100</v>
      </c>
      <c r="E17" s="110">
        <f>IF(G14+G15+G16="","",SUM(E14+E15+E16))</f>
        <v>6.416666666666667</v>
      </c>
      <c r="F17" s="111" t="s">
        <v>113</v>
      </c>
      <c r="G17" s="112"/>
      <c r="H17" s="112"/>
      <c r="I17" s="113"/>
    </row>
    <row r="18" spans="2:9" ht="15.6">
      <c r="B18" s="66" t="s">
        <v>114</v>
      </c>
      <c r="C18" s="18"/>
      <c r="D18" s="18"/>
      <c r="E18" s="18"/>
      <c r="F18" s="41" t="s">
        <v>115</v>
      </c>
      <c r="G18" s="18" t="s">
        <v>116</v>
      </c>
      <c r="H18" s="18"/>
      <c r="I18" s="65"/>
    </row>
    <row r="19" spans="2:9">
      <c r="B19" s="63"/>
      <c r="C19" s="18"/>
      <c r="D19" s="18"/>
      <c r="E19" s="18"/>
      <c r="F19" s="18"/>
      <c r="G19" s="18" t="s">
        <v>117</v>
      </c>
      <c r="H19" s="18"/>
      <c r="I19" s="65"/>
    </row>
    <row r="20" spans="2:9">
      <c r="B20" s="63"/>
      <c r="C20" s="18"/>
      <c r="D20" s="18"/>
      <c r="E20" s="38" t="s">
        <v>118</v>
      </c>
      <c r="F20" s="18"/>
      <c r="G20" s="18" t="s">
        <v>119</v>
      </c>
      <c r="H20" s="18"/>
      <c r="I20" s="65"/>
    </row>
    <row r="21" spans="2:9" ht="15.6" thickBot="1">
      <c r="B21" s="67" t="s">
        <v>120</v>
      </c>
      <c r="C21" s="68"/>
      <c r="D21" s="69" t="s">
        <v>99</v>
      </c>
      <c r="E21" s="68"/>
      <c r="F21" s="68"/>
      <c r="G21" s="68"/>
      <c r="H21" s="68"/>
      <c r="I21" s="70"/>
    </row>
  </sheetData>
  <sheetProtection sheet="1" objects="1" scenarios="1"/>
  <phoneticPr fontId="0" type="noConversion"/>
  <printOptions horizontalCentered="1" verticalCentered="1" gridLinesSet="0"/>
  <pageMargins left="0.5" right="0.5" top="0.5" bottom="0.5" header="0.5" footer="0.5"/>
  <pageSetup orientation="landscape" blackAndWhite="1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12</vt:i4>
      </vt:variant>
    </vt:vector>
  </HeadingPairs>
  <TitlesOfParts>
    <vt:vector size="33" baseType="lpstr">
      <vt:lpstr>Unit Conversion</vt:lpstr>
      <vt:lpstr>Calendar</vt:lpstr>
      <vt:lpstr>Checkbook Balance</vt:lpstr>
      <vt:lpstr>Loan Payment</vt:lpstr>
      <vt:lpstr>BMI &amp; Calorie</vt:lpstr>
      <vt:lpstr>Blood Pressure</vt:lpstr>
      <vt:lpstr>Conversion</vt:lpstr>
      <vt:lpstr>Convert</vt:lpstr>
      <vt:lpstr>Right Triangle</vt:lpstr>
      <vt:lpstr>Tap Drill</vt:lpstr>
      <vt:lpstr>Drill Bit Equivalence</vt:lpstr>
      <vt:lpstr>Chart 1</vt:lpstr>
      <vt:lpstr>Chart 2</vt:lpstr>
      <vt:lpstr>Bolt Circle</vt:lpstr>
      <vt:lpstr>Spiral</vt:lpstr>
      <vt:lpstr>Rotate</vt:lpstr>
      <vt:lpstr>Cone Fab</vt:lpstr>
      <vt:lpstr>Circle Segment</vt:lpstr>
      <vt:lpstr>Polygon</vt:lpstr>
      <vt:lpstr>Trig Function</vt:lpstr>
      <vt:lpstr>Data</vt:lpstr>
      <vt:lpstr>HEADDAYA3</vt:lpstr>
      <vt:lpstr>HEADDAYA4</vt:lpstr>
      <vt:lpstr>HEADWEEKA3</vt:lpstr>
      <vt:lpstr>HEADWEEKA4</vt:lpstr>
      <vt:lpstr>'Bolt Circle'!Print_Area</vt:lpstr>
      <vt:lpstr>Calendar!Print_Area</vt:lpstr>
      <vt:lpstr>Conversion!Print_Area</vt:lpstr>
      <vt:lpstr>Convert!Print_Area</vt:lpstr>
      <vt:lpstr>'Right Triangle'!Print_Area</vt:lpstr>
      <vt:lpstr>Spiral!Print_Area</vt:lpstr>
      <vt:lpstr>'Unit Conversion'!Print_Area</vt:lpstr>
      <vt:lpstr>'Loan Payment'!Print_Titles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Handy math sheets</dc:title>
  <dc:subject>Assorted helpful calculators</dc:subject>
  <dc:creator>Norman May (ncmay@yahoo.com)</dc:creator>
  <dc:description>Enter the required information to obtain a solution to an assortment of mathematical problems._x000d_
Updated 8/6/03</dc:description>
  <cp:lastModifiedBy>Mostafa Dastmardi</cp:lastModifiedBy>
  <cp:lastPrinted>2006-01-11T01:28:40Z</cp:lastPrinted>
  <dcterms:created xsi:type="dcterms:W3CDTF">2001-02-11T20:27:08Z</dcterms:created>
  <dcterms:modified xsi:type="dcterms:W3CDTF">2023-11-21T03:00:28Z</dcterms:modified>
</cp:coreProperties>
</file>